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4" activeTab="0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'Район'!$A$1:$F$119</definedName>
    <definedName name="_xlnm.Print_Area" localSheetId="1">'Справка'!$A$1:$DR$30</definedName>
  </definedNames>
  <calcPr fullCalcOnLoad="1"/>
</workbook>
</file>

<file path=xl/sharedStrings.xml><?xml version="1.0" encoding="utf-8"?>
<sst xmlns="http://schemas.openxmlformats.org/spreadsheetml/2006/main" count="2913" uniqueCount="332">
  <si>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</si>
  <si>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</si>
  <si>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</si>
  <si>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</si>
  <si>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</si>
  <si>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</si>
  <si>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</si>
  <si>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</si>
  <si>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</si>
  <si>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</si>
  <si>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</si>
  <si>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</si>
  <si>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</si>
  <si>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</si>
  <si>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</si>
  <si>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</si>
  <si>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</si>
  <si>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</si>
  <si>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</si>
  <si>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</si>
  <si>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</si>
  <si>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</si>
  <si>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</si>
  <si>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</si>
  <si>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</si>
  <si>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</si>
  <si>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</si>
  <si>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</si>
  <si>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</si>
  <si>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</si>
  <si>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</si>
  <si>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</si>
  <si>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</si>
  <si>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</si>
  <si>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</si>
  <si>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</si>
  <si>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</si>
  <si>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</si>
  <si>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</si>
  <si>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</si>
  <si>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</si>
  <si>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</si>
  <si>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</si>
  <si>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</si>
  <si>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</si>
  <si>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</si>
  <si>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</si>
  <si>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</si>
  <si>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</si>
  <si>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</si>
  <si>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</si>
  <si>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</si>
  <si>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</si>
  <si>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</si>
  <si>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</si>
  <si>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</si>
  <si>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</si>
  <si>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</si>
  <si>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</si>
  <si>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</si>
  <si>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</si>
  <si>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</si>
  <si>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</si>
  <si>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</si>
  <si>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</si>
  <si>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</si>
  <si>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</si>
  <si>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</si>
  <si>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</si>
  <si>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</si>
  <si>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</si>
  <si>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</si>
  <si>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</si>
  <si>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</si>
  <si>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</si>
  <si>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</si>
  <si>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</si>
  <si>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</si>
  <si>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</si>
  <si>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</si>
  <si>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</si>
  <si>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</si>
  <si>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</si>
  <si>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</si>
  <si>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</si>
  <si>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</si>
  <si>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</si>
  <si>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</si>
  <si>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</si>
  <si>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</si>
  <si>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</si>
  <si>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</si>
  <si>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</si>
  <si>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</si>
  <si>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</si>
  <si>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</si>
  <si>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</si>
  <si>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</si>
  <si>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</si>
  <si>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</si>
  <si>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</si>
  <si>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</si>
  <si>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</si>
  <si>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</si>
  <si>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</si>
  <si>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</si>
  <si>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</si>
  <si>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</si>
  <si>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</si>
  <si>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</si>
  <si>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</si>
  <si>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</si>
  <si>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</si>
  <si>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</si>
  <si>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</si>
  <si>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</si>
  <si>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</si>
  <si>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</si>
  <si>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</si>
  <si>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</si>
  <si>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</si>
  <si>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</si>
  <si>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</si>
  <si>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</si>
  <si>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</si>
  <si>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</si>
  <si>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</si>
  <si>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</si>
  <si>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</si>
  <si>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</si>
  <si>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</si>
  <si>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</si>
  <si>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</si>
  <si>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</si>
  <si>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</si>
  <si>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</si>
  <si>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</si>
  <si>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</si>
  <si>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</si>
  <si>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</si>
  <si>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</si>
  <si>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</si>
  <si>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</si>
  <si>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</si>
  <si>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</si>
  <si>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</si>
  <si>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</si>
  <si>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</si>
  <si>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</si>
  <si>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</si>
  <si>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</si>
  <si>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</si>
  <si>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</si>
  <si>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</si>
  <si>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</si>
  <si>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</si>
  <si>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</si>
  <si>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</si>
  <si>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</si>
  <si>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</si>
  <si>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</si>
  <si>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</si>
  <si>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</si>
  <si>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</si>
  <si>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</si>
  <si>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</si>
  <si>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</si>
  <si>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</si>
  <si>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</si>
  <si>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</si>
  <si>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</si>
  <si>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</si>
  <si>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</si>
  <si>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</si>
  <si>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</si>
  <si>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</si>
  <si>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</si>
  <si>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</si>
  <si>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</si>
  <si>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</si>
  <si>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</si>
  <si>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</si>
  <si>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</si>
  <si>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</si>
  <si>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</si>
  <si>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</si>
  <si>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</si>
  <si>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</si>
  <si>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</si>
  <si>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</si>
  <si>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</si>
  <si>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</si>
  <si>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</si>
  <si>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</si>
  <si>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</si>
  <si>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</si>
  <si>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</si>
  <si>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</si>
  <si>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</si>
  <si>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</si>
  <si>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</si>
  <si>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</si>
  <si>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</si>
  <si>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</si>
  <si>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</si>
  <si>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</si>
  <si>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</si>
  <si>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</si>
  <si>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</si>
  <si>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</si>
  <si>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</si>
  <si>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</si>
  <si>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</si>
  <si>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</si>
  <si>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</si>
  <si>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</si>
  <si>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</si>
  <si>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</si>
  <si>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</si>
  <si>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</si>
  <si>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</si>
  <si>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</si>
  <si>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</si>
  <si>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</si>
  <si>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</si>
  <si>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</si>
  <si>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</si>
  <si>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</si>
  <si>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</si>
  <si>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</si>
  <si>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</si>
  <si>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</si>
  <si>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</si>
  <si>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</si>
  <si>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</si>
  <si>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</si>
  <si>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</si>
  <si>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</si>
  <si>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</si>
  <si>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</si>
  <si>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</si>
  <si>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</si>
  <si>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</si>
  <si>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</si>
  <si>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</si>
  <si>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</si>
  <si>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</si>
  <si>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</si>
  <si>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</si>
  <si>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</si>
  <si>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</si>
  <si>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</si>
  <si>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</si>
  <si>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</si>
  <si>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</si>
  <si>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</si>
  <si>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</si>
  <si>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</si>
  <si>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</si>
  <si>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</si>
  <si>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</si>
  <si>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</si>
  <si>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</si>
  <si>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</si>
  <si>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</si>
  <si>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</si>
  <si>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</si>
  <si>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</si>
  <si>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</si>
  <si>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</si>
  <si>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</si>
  <si>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</si>
  <si>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</si>
  <si>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</si>
  <si>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</si>
  <si>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</si>
  <si>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</si>
  <si>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</si>
  <si>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</si>
  <si>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</si>
  <si>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</si>
  <si>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</si>
  <si>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</si>
  <si>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</si>
  <si>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</si>
  <si>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</si>
  <si>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</si>
  <si>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</si>
  <si>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</si>
  <si>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</si>
  <si>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</si>
  <si>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</si>
  <si>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</si>
  <si>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</si>
  <si>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</si>
  <si>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</si>
  <si>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</si>
  <si>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</si>
  <si>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-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</si>
  <si>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</si>
  <si>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</si>
  <si>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</si>
  <si>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>Денежные взыскания (штрафы) за нарушение законодательства о налогах и сборах                                    (116 00000 00 0000 000)</t>
  </si>
  <si>
    <t>Дефицит (профицит -)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</si>
  <si>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</si>
  <si>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</si>
  <si>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</si>
  <si>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</si>
  <si>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Прочие безвозмездные поступления от других бюджетов 
бюджетной системы</t>
  </si>
  <si>
    <t>Прочие безвозмездные поступления от других бюджетов бюджетной системы</t>
  </si>
  <si>
    <t>Анализ исполнения консолидированного бюджета Моргаушского района на 01.11.2011</t>
  </si>
  <si>
    <t>об исполнении бюджетов поселений  Моргаушского района  на 1 ноября 2011 г.</t>
  </si>
  <si>
    <t xml:space="preserve">                          Моргаушского района на 01.11.2011 г.</t>
  </si>
  <si>
    <t>исполнено на 01.11.2011 г.</t>
  </si>
  <si>
    <t>Анализ исполнения бюджета Александровского сельского поселения                                                                                             на 01.11.2011 г.</t>
  </si>
  <si>
    <t>Анализ исполнения бюджета Большесундырского сельского поселения                                                                                             на 01.11.2011 г.</t>
  </si>
  <si>
    <t>Анализ исполнения бюджета Ильинского сельского поселения                                                                                             на 01.11.2011 г.</t>
  </si>
  <si>
    <t>Анализ исполнения бюджета Кадикасинского сельского поселения                                                                                             на 01.11.2011 г.</t>
  </si>
  <si>
    <t>Анализ исполнения бюджета Моргаушского сельского поселения                                                                                             на 01.11.2011 г.</t>
  </si>
  <si>
    <t>Анализ исполнения бюджета Москакасинского сельского поселения                                                                                             на 01.11.2011 г.</t>
  </si>
  <si>
    <t>Анализ исполнения бюджета Орининского сельского поселения                                                                                             на 01.11.2011 г.</t>
  </si>
  <si>
    <t>Анализ исполнения бюджета Сятракасинского сельского поселения                                                                                             на 01.11.2011 г.</t>
  </si>
  <si>
    <t>Анализ исполнения бюджета Тораевского сельского поселения                                                                                             на 01.11.2011 г.</t>
  </si>
  <si>
    <t>Анализ исполнения бюджета Хорнойского сельского поселения                                                                                             на 01.11.2011 г.</t>
  </si>
  <si>
    <t>Анализ исполнения бюджета Чуманкасинского сельского поселения                                                                                             на 01.11.2011 г.</t>
  </si>
  <si>
    <t>Анализ исполнения бюджета Шатьмапосинского сельского поселения                                                                                             на 01.11.2011 г.</t>
  </si>
  <si>
    <t>Анализ исполнения бюджета Юнгинского сельского поселения                                                                                             на 01.11.2011 г.</t>
  </si>
  <si>
    <t>Анализ исполнения бюджета Юськасинского сельского поселения                                                                                             на 01.11.2011 г.</t>
  </si>
  <si>
    <t>Анализ исполнения бюджета Ярабайкасинского сельского поселения                                                                                             на 01.11.2011 г.</t>
  </si>
  <si>
    <t>Анализ исполнения бюджета Ярославского сельского поселения                                                                                             на 01.11.2011 г.</t>
  </si>
  <si>
    <t>0304</t>
  </si>
  <si>
    <t>Органы юсиции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</si>
</sst>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  <numFmt numFmtId="213" formatCode="_-* #,##0.0_р_._-;\-* #,##0.0_р_._-;_-* &quot;-&quot;?_р_._-;_-@_-"/>
    <numFmt numFmtId="214" formatCode="_(* #,##0.00000000_);_(* \(#,##0.00000000\);_(* &quot;-&quot;??_);_(@_)"/>
    <numFmt numFmtId="215" formatCode="_-* #,##0.00000_р_._-;\-* #,##0.00000_р_._-;_-* &quot;-&quot;?????_р_._-;_-@_-"/>
    <numFmt numFmtId="216" formatCode="_(&quot;$&quot;* #,##0.0_);_(&quot;$&quot;* \(#,##0.0\);_(&quot;$&quot;* &quot;-&quot;??_);_(@_)"/>
  </numFmts>
  <fonts count="60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0" borderId="0" xfId="60" applyFont="1">
      <alignment/>
      <protection/>
    </xf>
    <xf numFmtId="0" fontId="3" fillId="0" borderId="0" xfId="65" applyFont="1" applyFill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4" fillId="0" borderId="10" xfId="65" applyFont="1" applyBorder="1">
      <alignment/>
      <protection/>
    </xf>
    <xf numFmtId="180" fontId="4" fillId="0" borderId="10" xfId="65" applyNumberFormat="1" applyFont="1" applyBorder="1">
      <alignment/>
      <protection/>
    </xf>
    <xf numFmtId="180" fontId="5" fillId="0" borderId="10" xfId="65" applyNumberFormat="1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5" applyFont="1" applyBorder="1" applyAlignment="1">
      <alignment wrapText="1"/>
      <protection/>
    </xf>
    <xf numFmtId="180" fontId="5" fillId="33" borderId="10" xfId="64" applyNumberFormat="1" applyFont="1" applyFill="1" applyBorder="1" applyAlignment="1">
      <alignment horizontal="right" vertical="top" shrinkToFit="1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80" fontId="5" fillId="0" borderId="10" xfId="62" applyNumberFormat="1" applyFont="1" applyBorder="1">
      <alignment/>
      <protection/>
    </xf>
    <xf numFmtId="0" fontId="4" fillId="0" borderId="10" xfId="65" applyFont="1" applyBorder="1" applyAlignment="1">
      <alignment wrapText="1"/>
      <protection/>
    </xf>
    <xf numFmtId="180" fontId="3" fillId="0" borderId="0" xfId="65" applyNumberFormat="1" applyFont="1">
      <alignment/>
      <protection/>
    </xf>
    <xf numFmtId="180" fontId="3" fillId="0" borderId="0" xfId="62" applyNumberFormat="1" applyFont="1">
      <alignment/>
      <protection/>
    </xf>
    <xf numFmtId="0" fontId="4" fillId="0" borderId="10" xfId="65" applyFont="1" applyFill="1" applyBorder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Fill="1" applyBorder="1">
      <alignment/>
      <protection/>
    </xf>
    <xf numFmtId="180" fontId="4" fillId="0" borderId="0" xfId="59" applyNumberFormat="1" applyFont="1" applyBorder="1">
      <alignment/>
      <protection/>
    </xf>
    <xf numFmtId="180" fontId="5" fillId="0" borderId="0" xfId="59" applyNumberFormat="1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wrapText="1"/>
      <protection/>
    </xf>
    <xf numFmtId="180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49" fontId="4" fillId="0" borderId="11" xfId="62" applyNumberFormat="1" applyFont="1" applyBorder="1" applyAlignment="1">
      <alignment horizontal="left"/>
      <protection/>
    </xf>
    <xf numFmtId="0" fontId="4" fillId="0" borderId="10" xfId="62" applyFont="1" applyBorder="1" applyAlignment="1">
      <alignment wrapText="1"/>
      <protection/>
    </xf>
    <xf numFmtId="180" fontId="4" fillId="0" borderId="10" xfId="62" applyNumberFormat="1" applyFont="1" applyBorder="1">
      <alignment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left"/>
      <protection/>
    </xf>
    <xf numFmtId="0" fontId="4" fillId="0" borderId="10" xfId="61" applyFont="1" applyBorder="1" applyAlignment="1">
      <alignment wrapText="1"/>
      <protection/>
    </xf>
    <xf numFmtId="180" fontId="4" fillId="0" borderId="10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1" applyFont="1">
      <alignment/>
      <protection/>
    </xf>
    <xf numFmtId="49" fontId="5" fillId="0" borderId="11" xfId="61" applyNumberFormat="1" applyFont="1" applyBorder="1" applyAlignment="1">
      <alignment horizontal="left"/>
      <protection/>
    </xf>
    <xf numFmtId="0" fontId="5" fillId="0" borderId="10" xfId="61" applyFont="1" applyBorder="1" applyAlignment="1">
      <alignment wrapText="1"/>
      <protection/>
    </xf>
    <xf numFmtId="180" fontId="5" fillId="0" borderId="10" xfId="61" applyNumberFormat="1" applyFont="1" applyBorder="1">
      <alignment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 applyAlignment="1">
      <alignment vertical="top" wrapText="1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left" wrapText="1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4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left"/>
      <protection/>
    </xf>
    <xf numFmtId="0" fontId="5" fillId="34" borderId="10" xfId="62" applyFont="1" applyFill="1" applyBorder="1" applyAlignment="1">
      <alignment wrapText="1"/>
      <protection/>
    </xf>
    <xf numFmtId="0" fontId="4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0" fontId="4" fillId="0" borderId="10" xfId="65" applyFont="1" applyBorder="1" applyAlignment="1">
      <alignment horizontal="center"/>
      <protection/>
    </xf>
    <xf numFmtId="0" fontId="5" fillId="0" borderId="10" xfId="65" applyFont="1" applyBorder="1" applyAlignment="1">
      <alignment horizontal="center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0" fontId="4" fillId="0" borderId="12" xfId="65" applyFont="1" applyBorder="1" applyAlignment="1">
      <alignment horizontal="center"/>
      <protection/>
    </xf>
    <xf numFmtId="0" fontId="4" fillId="0" borderId="12" xfId="65" applyFont="1" applyFill="1" applyBorder="1">
      <alignment/>
      <protection/>
    </xf>
    <xf numFmtId="180" fontId="5" fillId="0" borderId="0" xfId="63" applyNumberFormat="1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180" fontId="4" fillId="0" borderId="10" xfId="63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wrapText="1"/>
      <protection/>
    </xf>
    <xf numFmtId="180" fontId="5" fillId="0" borderId="10" xfId="59" applyNumberFormat="1" applyFont="1" applyBorder="1" applyAlignment="1">
      <alignment horizontal="right"/>
      <protection/>
    </xf>
    <xf numFmtId="49" fontId="4" fillId="0" borderId="11" xfId="62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>
      <alignment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3" applyFont="1" applyFill="1" applyBorder="1" applyAlignment="1">
      <alignment wrapText="1"/>
      <protection/>
    </xf>
    <xf numFmtId="0" fontId="5" fillId="0" borderId="10" xfId="63" applyFont="1" applyFill="1" applyBorder="1" applyAlignment="1">
      <alignment wrapText="1"/>
      <protection/>
    </xf>
    <xf numFmtId="0" fontId="4" fillId="0" borderId="10" xfId="63" applyFont="1" applyFill="1" applyBorder="1" applyAlignment="1">
      <alignment horizontal="center" wrapText="1"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Fill="1">
      <alignment/>
      <protection/>
    </xf>
    <xf numFmtId="180" fontId="4" fillId="0" borderId="0" xfId="63" applyNumberFormat="1" applyFont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4" borderId="10" xfId="64" applyFont="1" applyFill="1" applyBorder="1" applyAlignment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>
      <alignment vertical="center" wrapText="1"/>
    </xf>
    <xf numFmtId="181" fontId="13" fillId="34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34" borderId="10" xfId="0" applyNumberFormat="1" applyFont="1" applyFill="1" applyBorder="1" applyAlignment="1">
      <alignment vertical="center" wrapText="1"/>
    </xf>
    <xf numFmtId="0" fontId="12" fillId="35" borderId="10" xfId="64" applyFont="1" applyFill="1" applyBorder="1" applyAlignment="1">
      <alignment vertical="center" wrapText="1"/>
      <protection/>
    </xf>
    <xf numFmtId="0" fontId="12" fillId="35" borderId="10" xfId="64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vertical="center" wrapText="1"/>
    </xf>
    <xf numFmtId="181" fontId="13" fillId="35" borderId="10" xfId="0" applyNumberFormat="1" applyFont="1" applyFill="1" applyBorder="1" applyAlignment="1">
      <alignment/>
    </xf>
    <xf numFmtId="181" fontId="10" fillId="35" borderId="10" xfId="0" applyNumberFormat="1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horizontal="right" vertical="center" wrapText="1"/>
    </xf>
    <xf numFmtId="181" fontId="10" fillId="35" borderId="10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181" fontId="10" fillId="0" borderId="1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2" fillId="34" borderId="11" xfId="64" applyFont="1" applyFill="1" applyBorder="1" applyAlignment="1">
      <alignment vertical="center" wrapText="1"/>
      <protection/>
    </xf>
    <xf numFmtId="0" fontId="12" fillId="34" borderId="13" xfId="64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>
      <alignment vertical="center" wrapText="1"/>
    </xf>
    <xf numFmtId="183" fontId="10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1" fontId="10" fillId="34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Font="1" applyFill="1" applyAlignment="1">
      <alignment/>
    </xf>
    <xf numFmtId="184" fontId="10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4" fillId="34" borderId="10" xfId="63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4" fillId="34" borderId="10" xfId="63" applyFont="1" applyFill="1" applyBorder="1" applyAlignment="1">
      <alignment horizontal="left" wrapText="1"/>
      <protection/>
    </xf>
    <xf numFmtId="0" fontId="5" fillId="34" borderId="10" xfId="63" applyFont="1" applyFill="1" applyBorder="1" applyAlignment="1">
      <alignment wrapText="1"/>
      <protection/>
    </xf>
    <xf numFmtId="49" fontId="5" fillId="0" borderId="11" xfId="61" applyNumberFormat="1" applyFont="1" applyBorder="1" applyAlignment="1">
      <alignment horizontal="center"/>
      <protection/>
    </xf>
    <xf numFmtId="181" fontId="10" fillId="35" borderId="10" xfId="0" applyNumberFormat="1" applyFont="1" applyFill="1" applyBorder="1" applyAlignment="1">
      <alignment/>
    </xf>
    <xf numFmtId="181" fontId="15" fillId="0" borderId="10" xfId="0" applyNumberFormat="1" applyFont="1" applyFill="1" applyBorder="1" applyAlignment="1">
      <alignment vertical="center" wrapText="1"/>
    </xf>
    <xf numFmtId="184" fontId="10" fillId="34" borderId="10" xfId="0" applyNumberFormat="1" applyFont="1" applyFill="1" applyBorder="1" applyAlignment="1">
      <alignment vertical="center" wrapText="1"/>
    </xf>
    <xf numFmtId="184" fontId="0" fillId="34" borderId="0" xfId="0" applyNumberFormat="1" applyFont="1" applyFill="1" applyAlignment="1">
      <alignment/>
    </xf>
    <xf numFmtId="188" fontId="3" fillId="0" borderId="0" xfId="0" applyNumberFormat="1" applyFont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211" fontId="4" fillId="0" borderId="10" xfId="78" applyNumberFormat="1" applyFont="1" applyBorder="1" applyAlignment="1">
      <alignment horizontal="right" vertical="center"/>
    </xf>
    <xf numFmtId="0" fontId="5" fillId="0" borderId="10" xfId="63" applyFont="1" applyBorder="1" applyAlignment="1">
      <alignment horizontal="center" vertical="center"/>
      <protection/>
    </xf>
    <xf numFmtId="1" fontId="4" fillId="0" borderId="10" xfId="63" applyNumberFormat="1" applyFont="1" applyBorder="1" applyAlignment="1">
      <alignment horizontal="right" vertical="center" wrapText="1"/>
      <protection/>
    </xf>
    <xf numFmtId="182" fontId="1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1" fontId="5" fillId="0" borderId="10" xfId="53" applyNumberFormat="1" applyFont="1" applyFill="1" applyBorder="1" applyAlignment="1">
      <alignment shrinkToFit="1"/>
      <protection/>
    </xf>
    <xf numFmtId="184" fontId="58" fillId="34" borderId="0" xfId="0" applyNumberFormat="1" applyFont="1" applyFill="1" applyAlignment="1">
      <alignment/>
    </xf>
    <xf numFmtId="184" fontId="10" fillId="34" borderId="0" xfId="0" applyNumberFormat="1" applyFont="1" applyFill="1" applyBorder="1" applyAlignment="1" applyProtection="1">
      <alignment vertical="center" wrapText="1"/>
      <protection locked="0"/>
    </xf>
    <xf numFmtId="211" fontId="4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/>
      <protection/>
    </xf>
    <xf numFmtId="211" fontId="4" fillId="0" borderId="10" xfId="59" applyNumberFormat="1" applyFont="1" applyBorder="1" applyAlignment="1">
      <alignment horizontal="right" vertical="center"/>
      <protection/>
    </xf>
    <xf numFmtId="211" fontId="5" fillId="0" borderId="10" xfId="59" applyNumberFormat="1" applyFont="1" applyBorder="1" applyAlignment="1">
      <alignment horizontal="right" vertical="center"/>
      <protection/>
    </xf>
    <xf numFmtId="211" fontId="5" fillId="33" borderId="10" xfId="58" applyNumberFormat="1" applyFont="1" applyFill="1" applyBorder="1" applyAlignment="1">
      <alignment horizontal="right" vertical="top" shrinkToFit="1"/>
      <protection/>
    </xf>
    <xf numFmtId="211" fontId="4" fillId="0" borderId="10" xfId="63" applyNumberFormat="1" applyFont="1" applyBorder="1" applyAlignment="1">
      <alignment horizontal="right"/>
      <protection/>
    </xf>
    <xf numFmtId="189" fontId="11" fillId="0" borderId="0" xfId="0" applyNumberFormat="1" applyFont="1" applyAlignment="1">
      <alignment horizontal="center" vertical="center" wrapText="1"/>
    </xf>
    <xf numFmtId="2" fontId="4" fillId="0" borderId="0" xfId="59" applyNumberFormat="1" applyFont="1" applyBorder="1">
      <alignment/>
      <protection/>
    </xf>
    <xf numFmtId="180" fontId="4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Fill="1" applyBorder="1" applyAlignment="1">
      <alignment horizontal="right" vertical="center"/>
      <protection/>
    </xf>
    <xf numFmtId="180" fontId="4" fillId="0" borderId="10" xfId="78" applyNumberFormat="1" applyFont="1" applyBorder="1" applyAlignment="1">
      <alignment horizontal="right" vertical="center"/>
    </xf>
    <xf numFmtId="180" fontId="5" fillId="34" borderId="10" xfId="78" applyNumberFormat="1" applyFont="1" applyFill="1" applyBorder="1" applyAlignment="1">
      <alignment horizontal="right" vertical="center"/>
    </xf>
    <xf numFmtId="180" fontId="5" fillId="34" borderId="10" xfId="65" applyNumberFormat="1" applyFont="1" applyFill="1" applyBorder="1" applyAlignment="1">
      <alignment horizontal="right" vertical="center"/>
      <protection/>
    </xf>
    <xf numFmtId="180" fontId="4" fillId="0" borderId="10" xfId="65" applyNumberFormat="1" applyFont="1" applyFill="1" applyBorder="1" applyAlignment="1">
      <alignment horizontal="right" vertical="center"/>
      <protection/>
    </xf>
    <xf numFmtId="180" fontId="4" fillId="34" borderId="10" xfId="7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vertical="center" wrapText="1"/>
      <protection locked="0"/>
    </xf>
    <xf numFmtId="188" fontId="5" fillId="0" borderId="0" xfId="63" applyNumberFormat="1" applyFont="1" applyAlignment="1">
      <alignment horizontal="center"/>
      <protection/>
    </xf>
    <xf numFmtId="215" fontId="3" fillId="0" borderId="0" xfId="62" applyNumberFormat="1" applyFont="1">
      <alignment/>
      <protection/>
    </xf>
    <xf numFmtId="180" fontId="5" fillId="36" borderId="10" xfId="62" applyNumberFormat="1" applyFont="1" applyFill="1" applyBorder="1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180" fontId="13" fillId="34" borderId="0" xfId="0" applyNumberFormat="1" applyFont="1" applyFill="1" applyAlignment="1">
      <alignment/>
    </xf>
    <xf numFmtId="181" fontId="13" fillId="34" borderId="0" xfId="0" applyNumberFormat="1" applyFont="1" applyFill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181" fontId="15" fillId="0" borderId="10" xfId="0" applyNumberFormat="1" applyFont="1" applyFill="1" applyBorder="1" applyAlignment="1">
      <alignment vertical="center" wrapText="1"/>
    </xf>
    <xf numFmtId="181" fontId="15" fillId="36" borderId="10" xfId="0" applyNumberFormat="1" applyFont="1" applyFill="1" applyBorder="1" applyAlignment="1">
      <alignment vertical="center" wrapText="1"/>
    </xf>
    <xf numFmtId="184" fontId="13" fillId="34" borderId="0" xfId="0" applyNumberFormat="1" applyFont="1" applyFill="1" applyAlignment="1">
      <alignment/>
    </xf>
    <xf numFmtId="180" fontId="17" fillId="36" borderId="10" xfId="0" applyNumberFormat="1" applyFont="1" applyFill="1" applyBorder="1" applyAlignment="1">
      <alignment horizontal="center" vertical="center" wrapText="1"/>
    </xf>
    <xf numFmtId="190" fontId="3" fillId="0" borderId="0" xfId="62" applyNumberFormat="1" applyFont="1">
      <alignment/>
      <protection/>
    </xf>
    <xf numFmtId="1" fontId="5" fillId="0" borderId="0" xfId="62" applyNumberFormat="1" applyFont="1">
      <alignment/>
      <protection/>
    </xf>
    <xf numFmtId="0" fontId="10" fillId="34" borderId="11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80" fontId="5" fillId="33" borderId="10" xfId="55" applyNumberFormat="1" applyFont="1" applyFill="1" applyBorder="1" applyAlignment="1">
      <alignment horizontal="right" vertical="center" shrinkToFit="1"/>
      <protection/>
    </xf>
    <xf numFmtId="180" fontId="5" fillId="33" borderId="10" xfId="56" applyNumberFormat="1" applyFont="1" applyFill="1" applyBorder="1" applyAlignment="1">
      <alignment horizontal="right" vertical="center" shrinkToFit="1"/>
      <protection/>
    </xf>
    <xf numFmtId="180" fontId="5" fillId="33" borderId="10" xfId="57" applyNumberFormat="1" applyFont="1" applyFill="1" applyBorder="1" applyAlignment="1">
      <alignment horizontal="right" vertical="center" shrinkToFit="1"/>
      <protection/>
    </xf>
    <xf numFmtId="180" fontId="4" fillId="0" borderId="10" xfId="0" applyNumberFormat="1" applyFont="1" applyBorder="1" applyAlignment="1">
      <alignment horizontal="right" vertical="center"/>
    </xf>
    <xf numFmtId="180" fontId="4" fillId="0" borderId="12" xfId="65" applyNumberFormat="1" applyFont="1" applyBorder="1" applyAlignment="1">
      <alignment horizontal="right" vertical="center"/>
      <protection/>
    </xf>
    <xf numFmtId="188" fontId="5" fillId="0" borderId="0" xfId="63" applyNumberFormat="1" applyFont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7" fontId="5" fillId="0" borderId="0" xfId="62" applyNumberFormat="1" applyFont="1">
      <alignment/>
      <protection/>
    </xf>
    <xf numFmtId="184" fontId="13" fillId="36" borderId="0" xfId="0" applyNumberFormat="1" applyFont="1" applyFill="1" applyAlignment="1">
      <alignment/>
    </xf>
    <xf numFmtId="182" fontId="13" fillId="36" borderId="0" xfId="0" applyNumberFormat="1" applyFont="1" applyFill="1" applyAlignment="1">
      <alignment/>
    </xf>
    <xf numFmtId="181" fontId="59" fillId="34" borderId="0" xfId="0" applyNumberFormat="1" applyFont="1" applyFill="1" applyAlignment="1">
      <alignment/>
    </xf>
    <xf numFmtId="180" fontId="13" fillId="34" borderId="0" xfId="43" applyNumberFormat="1" applyFont="1" applyFill="1" applyAlignment="1">
      <alignment/>
    </xf>
    <xf numFmtId="183" fontId="13" fillId="36" borderId="0" xfId="0" applyNumberFormat="1" applyFont="1" applyFill="1" applyAlignment="1">
      <alignment/>
    </xf>
    <xf numFmtId="181" fontId="15" fillId="36" borderId="10" xfId="0" applyNumberFormat="1" applyFont="1" applyFill="1" applyBorder="1" applyAlignment="1">
      <alignment vertical="center" wrapText="1"/>
    </xf>
    <xf numFmtId="181" fontId="13" fillId="36" borderId="0" xfId="0" applyNumberFormat="1" applyFont="1" applyFill="1" applyAlignment="1">
      <alignment/>
    </xf>
    <xf numFmtId="49" fontId="5" fillId="0" borderId="11" xfId="63" applyNumberFormat="1" applyFont="1" applyBorder="1" applyAlignment="1">
      <alignment horizontal="center"/>
      <protection/>
    </xf>
    <xf numFmtId="188" fontId="5" fillId="0" borderId="0" xfId="63" applyNumberFormat="1" applyFont="1" applyAlignment="1">
      <alignment horizontal="right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34" borderId="11" xfId="64" applyFont="1" applyFill="1" applyBorder="1" applyAlignment="1">
      <alignment horizontal="center" vertical="center" wrapText="1"/>
      <protection/>
    </xf>
    <xf numFmtId="0" fontId="14" fillId="34" borderId="13" xfId="64" applyFont="1" applyFill="1" applyBorder="1" applyAlignment="1">
      <alignment horizontal="center" vertical="center" wrapText="1"/>
      <protection/>
    </xf>
    <xf numFmtId="0" fontId="10" fillId="34" borderId="2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4" fillId="0" borderId="0" xfId="65" applyFont="1" applyAlignment="1">
      <alignment horizontal="center"/>
      <protection/>
    </xf>
    <xf numFmtId="0" fontId="2" fillId="0" borderId="0" xfId="65" applyFont="1" applyAlignment="1">
      <alignment horizontal="center" vertical="center" wrapText="1"/>
      <protection/>
    </xf>
    <xf numFmtId="186" fontId="3" fillId="0" borderId="0" xfId="0" applyNumberFormat="1" applyFont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Алек 2" xfId="59"/>
    <cellStyle name="Обычный_Анализ Александр на 1.03.08" xfId="60"/>
    <cellStyle name="Обычный_Анализ Кадикас. на 1.03.08" xfId="61"/>
    <cellStyle name="Обычный_Анализ Моргаш. на 1.03.08" xfId="62"/>
    <cellStyle name="Обычный_Анализ район на 1.03.08" xfId="63"/>
    <cellStyle name="Обычный_Лист1 2" xfId="64"/>
    <cellStyle name="Обычный_Лист3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41.28125" style="145" customWidth="1"/>
    <col min="2" max="2" width="11.140625" style="146" customWidth="1"/>
    <col min="3" max="3" width="15.421875" style="142" customWidth="1"/>
    <col min="4" max="4" width="14.7109375" style="142" customWidth="1"/>
    <col min="5" max="5" width="12.00390625" style="142" customWidth="1"/>
    <col min="6" max="6" width="15.7109375" style="142" customWidth="1"/>
    <col min="7" max="7" width="14.8515625" style="142" customWidth="1"/>
    <col min="8" max="8" width="8.00390625" style="142" customWidth="1"/>
    <col min="9" max="9" width="15.8515625" style="142" customWidth="1"/>
    <col min="10" max="10" width="14.57421875" style="142" customWidth="1"/>
    <col min="11" max="11" width="8.28125" style="142" customWidth="1"/>
    <col min="12" max="12" width="19.140625" style="142" customWidth="1"/>
    <col min="13" max="16384" width="9.140625" style="142" customWidth="1"/>
  </cols>
  <sheetData>
    <row r="1" spans="1:11" ht="26.25" customHeight="1">
      <c r="A1" s="239" t="s">
        <v>310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3.25" customHeight="1">
      <c r="A2" s="240" t="s">
        <v>226</v>
      </c>
      <c r="B2" s="241" t="s">
        <v>227</v>
      </c>
      <c r="C2" s="242" t="s">
        <v>228</v>
      </c>
      <c r="D2" s="242"/>
      <c r="E2" s="242"/>
      <c r="F2" s="242" t="s">
        <v>229</v>
      </c>
      <c r="G2" s="242"/>
      <c r="H2" s="242"/>
      <c r="I2" s="242" t="s">
        <v>230</v>
      </c>
      <c r="J2" s="242"/>
      <c r="K2" s="242"/>
    </row>
    <row r="3" spans="1:11" ht="24" customHeight="1">
      <c r="A3" s="240"/>
      <c r="B3" s="241"/>
      <c r="C3" s="192" t="s">
        <v>273</v>
      </c>
      <c r="D3" s="192" t="s">
        <v>231</v>
      </c>
      <c r="E3" s="192" t="s">
        <v>232</v>
      </c>
      <c r="F3" s="192" t="s">
        <v>273</v>
      </c>
      <c r="G3" s="192" t="s">
        <v>231</v>
      </c>
      <c r="H3" s="192" t="s">
        <v>232</v>
      </c>
      <c r="I3" s="192" t="s">
        <v>273</v>
      </c>
      <c r="J3" s="192" t="s">
        <v>231</v>
      </c>
      <c r="K3" s="192" t="s">
        <v>232</v>
      </c>
    </row>
    <row r="4" spans="1:11" s="143" customFormat="1" ht="30.75" customHeight="1">
      <c r="A4" s="193" t="s">
        <v>5</v>
      </c>
      <c r="B4" s="190"/>
      <c r="C4" s="195">
        <f>SUM(C5:C11)</f>
        <v>87592.47</v>
      </c>
      <c r="D4" s="195">
        <f>SUM(D5:D11)</f>
        <v>73035.78277</v>
      </c>
      <c r="E4" s="195">
        <f>D4/C4*100</f>
        <v>83.38134861364225</v>
      </c>
      <c r="F4" s="195">
        <f>SUM(F5:F11)</f>
        <v>71398.37</v>
      </c>
      <c r="G4" s="195">
        <f>SUM(G5:G11)</f>
        <v>60830.61806</v>
      </c>
      <c r="H4" s="195">
        <f>G4/F4*100</f>
        <v>85.19888907828008</v>
      </c>
      <c r="I4" s="195">
        <f>I5+I6+I7+I8+I9+I10+I11</f>
        <v>16194.100000000002</v>
      </c>
      <c r="J4" s="195">
        <f>J5+J6+J7+J8+J9+J10+J11</f>
        <v>12205.164710000001</v>
      </c>
      <c r="K4" s="195">
        <f>J4/I4*100</f>
        <v>75.36797173044503</v>
      </c>
    </row>
    <row r="5" spans="1:11" ht="19.5" customHeight="1">
      <c r="A5" s="194" t="s">
        <v>233</v>
      </c>
      <c r="B5" s="191">
        <v>10102</v>
      </c>
      <c r="C5" s="213">
        <f aca="true" t="shared" si="0" ref="C5:D20">F5+I5</f>
        <v>70931.67</v>
      </c>
      <c r="D5" s="213">
        <f t="shared" si="0"/>
        <v>59054.82089</v>
      </c>
      <c r="E5" s="195">
        <f aca="true" t="shared" si="1" ref="E5:E10">D5/C5*100</f>
        <v>83.25592910754816</v>
      </c>
      <c r="F5" s="213">
        <f>Район!C6</f>
        <v>60458.37</v>
      </c>
      <c r="G5" s="213">
        <f>Район!D6</f>
        <v>50969.85147</v>
      </c>
      <c r="H5" s="163">
        <f aca="true" t="shared" si="2" ref="H5:H38">G5/F5*100</f>
        <v>84.30569906201572</v>
      </c>
      <c r="I5" s="213">
        <f>Справка!I30</f>
        <v>10473.300000000001</v>
      </c>
      <c r="J5" s="213">
        <f>Справка!J30</f>
        <v>8084.96942</v>
      </c>
      <c r="K5" s="163">
        <f aca="true" t="shared" si="3" ref="K5:K10">J5/I5*100</f>
        <v>77.19600718016288</v>
      </c>
    </row>
    <row r="6" spans="1:11" ht="19.5" customHeight="1">
      <c r="A6" s="194" t="s">
        <v>234</v>
      </c>
      <c r="B6" s="191">
        <v>10500</v>
      </c>
      <c r="C6" s="213">
        <f t="shared" si="0"/>
        <v>8540</v>
      </c>
      <c r="D6" s="213">
        <f t="shared" si="0"/>
        <v>8466.106720000002</v>
      </c>
      <c r="E6" s="195">
        <f t="shared" si="1"/>
        <v>99.13473911007029</v>
      </c>
      <c r="F6" s="213">
        <f>Район!C7</f>
        <v>8370</v>
      </c>
      <c r="G6" s="213">
        <f>Район!D7</f>
        <v>8297.852710000001</v>
      </c>
      <c r="H6" s="163">
        <f t="shared" si="2"/>
        <v>99.13802520908006</v>
      </c>
      <c r="I6" s="213">
        <f>Справка!L30</f>
        <v>170</v>
      </c>
      <c r="J6" s="213">
        <f>Справка!M30</f>
        <v>168.25400999999997</v>
      </c>
      <c r="K6" s="163">
        <f t="shared" si="3"/>
        <v>98.97294705882351</v>
      </c>
    </row>
    <row r="7" spans="1:11" ht="19.5" customHeight="1">
      <c r="A7" s="194" t="s">
        <v>235</v>
      </c>
      <c r="B7" s="191">
        <v>10601</v>
      </c>
      <c r="C7" s="213">
        <f t="shared" si="0"/>
        <v>420.00000000000006</v>
      </c>
      <c r="D7" s="213">
        <f t="shared" si="0"/>
        <v>176.71112</v>
      </c>
      <c r="E7" s="195">
        <f t="shared" si="1"/>
        <v>42.074076190476184</v>
      </c>
      <c r="F7" s="213">
        <v>0</v>
      </c>
      <c r="G7" s="213">
        <v>0</v>
      </c>
      <c r="H7" s="163">
        <v>0</v>
      </c>
      <c r="I7" s="213">
        <f>Справка!O30</f>
        <v>420.00000000000006</v>
      </c>
      <c r="J7" s="213">
        <f>Справка!P30</f>
        <v>176.71112</v>
      </c>
      <c r="K7" s="163">
        <f t="shared" si="3"/>
        <v>42.074076190476184</v>
      </c>
    </row>
    <row r="8" spans="1:11" ht="19.5" customHeight="1">
      <c r="A8" s="194" t="s">
        <v>236</v>
      </c>
      <c r="B8" s="191">
        <v>10606</v>
      </c>
      <c r="C8" s="213">
        <f t="shared" si="0"/>
        <v>4930.8</v>
      </c>
      <c r="D8" s="213">
        <f t="shared" si="0"/>
        <v>3590.4869200000003</v>
      </c>
      <c r="E8" s="195">
        <f t="shared" si="1"/>
        <v>72.81753305751603</v>
      </c>
      <c r="F8" s="213">
        <v>0</v>
      </c>
      <c r="G8" s="213">
        <v>0</v>
      </c>
      <c r="H8" s="163">
        <v>0</v>
      </c>
      <c r="I8" s="213">
        <f>Справка!R30</f>
        <v>4930.8</v>
      </c>
      <c r="J8" s="213">
        <f>Справка!S30</f>
        <v>3590.4869200000003</v>
      </c>
      <c r="K8" s="163">
        <f t="shared" si="3"/>
        <v>72.81753305751603</v>
      </c>
    </row>
    <row r="9" spans="1:11" ht="33.75" customHeight="1">
      <c r="A9" s="194" t="s">
        <v>237</v>
      </c>
      <c r="B9" s="191">
        <v>10701</v>
      </c>
      <c r="C9" s="213">
        <f t="shared" si="0"/>
        <v>70</v>
      </c>
      <c r="D9" s="213">
        <f t="shared" si="0"/>
        <v>53.64681</v>
      </c>
      <c r="E9" s="195">
        <f t="shared" si="1"/>
        <v>76.6383</v>
      </c>
      <c r="F9" s="213">
        <f>Район!C13</f>
        <v>70</v>
      </c>
      <c r="G9" s="213">
        <f>Район!D13</f>
        <v>53.64681</v>
      </c>
      <c r="H9" s="163">
        <f t="shared" si="2"/>
        <v>76.6383</v>
      </c>
      <c r="I9" s="213">
        <v>0</v>
      </c>
      <c r="J9" s="213">
        <v>0</v>
      </c>
      <c r="K9" s="163">
        <v>0</v>
      </c>
    </row>
    <row r="10" spans="1:11" ht="19.5" customHeight="1">
      <c r="A10" s="194" t="s">
        <v>238</v>
      </c>
      <c r="B10" s="191">
        <v>10800</v>
      </c>
      <c r="C10" s="213">
        <f t="shared" si="0"/>
        <v>2700</v>
      </c>
      <c r="D10" s="213">
        <f t="shared" si="0"/>
        <v>1693.8825100000001</v>
      </c>
      <c r="E10" s="195">
        <f t="shared" si="1"/>
        <v>62.73638925925926</v>
      </c>
      <c r="F10" s="213">
        <f>Район!C15</f>
        <v>2500</v>
      </c>
      <c r="G10" s="213">
        <f>Район!D15</f>
        <v>1509.1392700000001</v>
      </c>
      <c r="H10" s="163">
        <f t="shared" si="2"/>
        <v>60.3655708</v>
      </c>
      <c r="I10" s="213">
        <f>Справка!U30</f>
        <v>199.99999999999997</v>
      </c>
      <c r="J10" s="213">
        <f>Справка!V30</f>
        <v>184.74324000000001</v>
      </c>
      <c r="K10" s="163">
        <f t="shared" si="3"/>
        <v>92.37162000000002</v>
      </c>
    </row>
    <row r="11" spans="1:11" ht="19.5" customHeight="1">
      <c r="A11" s="194" t="s">
        <v>239</v>
      </c>
      <c r="B11" s="191">
        <v>10900</v>
      </c>
      <c r="C11" s="213">
        <f t="shared" si="0"/>
        <v>0</v>
      </c>
      <c r="D11" s="213">
        <f t="shared" si="0"/>
        <v>0.1278</v>
      </c>
      <c r="E11" s="195"/>
      <c r="F11" s="213">
        <f>Район!C19</f>
        <v>0</v>
      </c>
      <c r="G11" s="213">
        <f>Район!D19</f>
        <v>0.1278</v>
      </c>
      <c r="H11" s="163"/>
      <c r="I11" s="213">
        <v>0</v>
      </c>
      <c r="J11" s="213">
        <v>0</v>
      </c>
      <c r="K11" s="163"/>
    </row>
    <row r="12" spans="1:11" s="143" customFormat="1" ht="27" customHeight="1">
      <c r="A12" s="193" t="s">
        <v>20</v>
      </c>
      <c r="B12" s="190"/>
      <c r="C12" s="195">
        <f>SUM(C13:C19)</f>
        <v>11554.599999999999</v>
      </c>
      <c r="D12" s="195">
        <f>D13+D14+D15+D16+D17+D18</f>
        <v>12855.054939999998</v>
      </c>
      <c r="E12" s="195">
        <f aca="true" t="shared" si="4" ref="E12:E37">D12/C12*100</f>
        <v>111.25486767174976</v>
      </c>
      <c r="F12" s="195">
        <f>F13+F14+F15+F16+F17+F18</f>
        <v>8685.6</v>
      </c>
      <c r="G12" s="195">
        <f>G13+G14+G15+G16+G17+G18</f>
        <v>8121.309929999999</v>
      </c>
      <c r="H12" s="195">
        <f t="shared" si="2"/>
        <v>93.50315384084</v>
      </c>
      <c r="I12" s="196">
        <f>I13+I14+I15+I16+I18+I19</f>
        <v>2869</v>
      </c>
      <c r="J12" s="196">
        <f>J13+J14+J15+J16+J17+J18+J19</f>
        <v>4733.7450100000015</v>
      </c>
      <c r="K12" s="195">
        <f>J12/I12*100</f>
        <v>164.99634053677244</v>
      </c>
    </row>
    <row r="13" spans="1:11" ht="52.5" customHeight="1">
      <c r="A13" s="194" t="s">
        <v>240</v>
      </c>
      <c r="B13" s="191">
        <v>11100</v>
      </c>
      <c r="C13" s="213">
        <f aca="true" t="shared" si="5" ref="C13:C20">F13+I13</f>
        <v>4809</v>
      </c>
      <c r="D13" s="213">
        <f t="shared" si="0"/>
        <v>5675.66878</v>
      </c>
      <c r="E13" s="213">
        <f t="shared" si="4"/>
        <v>118.02180869203576</v>
      </c>
      <c r="F13" s="213">
        <f>Район!C21+Район!C22+Район!C23+Район!C24</f>
        <v>2760</v>
      </c>
      <c r="G13" s="213">
        <f>Район!D21+Район!D22+Район!D23+Район!D24</f>
        <v>2979.21606</v>
      </c>
      <c r="H13" s="213">
        <f t="shared" si="2"/>
        <v>107.94261086956523</v>
      </c>
      <c r="I13" s="213">
        <f>Справка!X30+Справка!AD30</f>
        <v>2049</v>
      </c>
      <c r="J13" s="213">
        <f>Справка!Y30+Справка!AE30</f>
        <v>2696.45272</v>
      </c>
      <c r="K13" s="163">
        <f>J13/I13*100</f>
        <v>131.59847340165936</v>
      </c>
    </row>
    <row r="14" spans="1:11" ht="33" customHeight="1">
      <c r="A14" s="194" t="s">
        <v>241</v>
      </c>
      <c r="B14" s="191">
        <v>11200</v>
      </c>
      <c r="C14" s="213">
        <f t="shared" si="5"/>
        <v>670</v>
      </c>
      <c r="D14" s="213">
        <f t="shared" si="0"/>
        <v>560.56334</v>
      </c>
      <c r="E14" s="213">
        <f t="shared" si="4"/>
        <v>83.66617014925374</v>
      </c>
      <c r="F14" s="213">
        <f>Район!C25</f>
        <v>670</v>
      </c>
      <c r="G14" s="213">
        <f>Район!D25</f>
        <v>560.56334</v>
      </c>
      <c r="H14" s="213">
        <f t="shared" si="2"/>
        <v>83.66617014925374</v>
      </c>
      <c r="I14" s="213">
        <v>0</v>
      </c>
      <c r="J14" s="213">
        <v>0</v>
      </c>
      <c r="K14" s="163">
        <v>0</v>
      </c>
    </row>
    <row r="15" spans="1:11" ht="33" customHeight="1">
      <c r="A15" s="194" t="s">
        <v>242</v>
      </c>
      <c r="B15" s="191">
        <v>11300</v>
      </c>
      <c r="C15" s="213">
        <f t="shared" si="5"/>
        <v>362.9</v>
      </c>
      <c r="D15" s="213">
        <f>G15+J15</f>
        <v>172.03117</v>
      </c>
      <c r="E15" s="213">
        <f>D15/C15*100</f>
        <v>47.40456599614219</v>
      </c>
      <c r="F15" s="213">
        <f>Район!C26</f>
        <v>342.9</v>
      </c>
      <c r="G15" s="213">
        <f>Район!D26</f>
        <v>0</v>
      </c>
      <c r="H15" s="213">
        <f t="shared" si="2"/>
        <v>0</v>
      </c>
      <c r="I15" s="213">
        <f>Справка!AM30</f>
        <v>20</v>
      </c>
      <c r="J15" s="213">
        <f>Справка!AN30</f>
        <v>172.03117</v>
      </c>
      <c r="K15" s="163">
        <f>J15/I15*100</f>
        <v>860.15585</v>
      </c>
    </row>
    <row r="16" spans="1:11" ht="33" customHeight="1">
      <c r="A16" s="194" t="s">
        <v>243</v>
      </c>
      <c r="B16" s="191">
        <v>11400</v>
      </c>
      <c r="C16" s="213">
        <f t="shared" si="5"/>
        <v>3362.7</v>
      </c>
      <c r="D16" s="213">
        <f t="shared" si="0"/>
        <v>4011.69513</v>
      </c>
      <c r="E16" s="213">
        <f t="shared" si="4"/>
        <v>119.29982246409136</v>
      </c>
      <c r="F16" s="213">
        <f>Район!C27+Район!C28</f>
        <v>2562.7</v>
      </c>
      <c r="G16" s="213">
        <f>Район!D27+Район!D28</f>
        <v>2227.12801</v>
      </c>
      <c r="H16" s="213">
        <f t="shared" si="2"/>
        <v>86.90552971475397</v>
      </c>
      <c r="I16" s="213">
        <f>Справка!AJ30</f>
        <v>800</v>
      </c>
      <c r="J16" s="213">
        <f>Справка!AK30</f>
        <v>1784.5671200000002</v>
      </c>
      <c r="K16" s="163">
        <f>J16/I16*100</f>
        <v>223.07089000000002</v>
      </c>
    </row>
    <row r="17" spans="1:11" ht="22.5" customHeight="1">
      <c r="A17" s="194" t="s">
        <v>290</v>
      </c>
      <c r="B17" s="191">
        <v>11600</v>
      </c>
      <c r="C17" s="213">
        <f t="shared" si="5"/>
        <v>2335</v>
      </c>
      <c r="D17" s="213">
        <f t="shared" si="0"/>
        <v>2391.72872</v>
      </c>
      <c r="E17" s="213">
        <f t="shared" si="4"/>
        <v>102.42949550321198</v>
      </c>
      <c r="F17" s="213">
        <f>Район!C29</f>
        <v>2335</v>
      </c>
      <c r="G17" s="213">
        <f>Район!D29</f>
        <v>2311.03472</v>
      </c>
      <c r="H17" s="213">
        <f t="shared" si="2"/>
        <v>98.97364967880085</v>
      </c>
      <c r="I17" s="213">
        <v>0</v>
      </c>
      <c r="J17" s="213">
        <f>Справка!AQ30</f>
        <v>80.694</v>
      </c>
      <c r="K17" s="163">
        <v>0</v>
      </c>
    </row>
    <row r="18" spans="1:11" ht="22.5" customHeight="1">
      <c r="A18" s="194" t="s">
        <v>244</v>
      </c>
      <c r="B18" s="191">
        <v>11700</v>
      </c>
      <c r="C18" s="213">
        <f t="shared" si="5"/>
        <v>15</v>
      </c>
      <c r="D18" s="213">
        <f>G18+J18</f>
        <v>43.3678</v>
      </c>
      <c r="E18" s="213">
        <f>D18/C18*100</f>
        <v>289.1186666666667</v>
      </c>
      <c r="F18" s="213">
        <f>Район!C42+Район!C43</f>
        <v>15</v>
      </c>
      <c r="G18" s="213">
        <f>Район!D42+Район!D43</f>
        <v>43.3678</v>
      </c>
      <c r="H18" s="213">
        <f>G18/F18*100</f>
        <v>289.1186666666667</v>
      </c>
      <c r="I18" s="213">
        <f>Справка!AS30</f>
        <v>0</v>
      </c>
      <c r="J18" s="213">
        <f>Справка!AT30</f>
        <v>0</v>
      </c>
      <c r="K18" s="163"/>
    </row>
    <row r="19" spans="1:11" ht="22.5" customHeight="1" hidden="1" thickBot="1">
      <c r="A19" s="194" t="s">
        <v>245</v>
      </c>
      <c r="B19" s="191">
        <v>11900</v>
      </c>
      <c r="C19" s="163">
        <f t="shared" si="5"/>
        <v>0</v>
      </c>
      <c r="D19" s="163">
        <v>0</v>
      </c>
      <c r="E19" s="163"/>
      <c r="F19" s="163">
        <f>Район!C51</f>
        <v>0</v>
      </c>
      <c r="G19" s="163">
        <v>0</v>
      </c>
      <c r="H19" s="163"/>
      <c r="I19" s="163">
        <f>Справка!AY30</f>
        <v>0</v>
      </c>
      <c r="J19" s="163">
        <f>Справка!AZ30</f>
        <v>0</v>
      </c>
      <c r="K19" s="163"/>
    </row>
    <row r="20" spans="1:11" ht="33" customHeight="1" hidden="1" thickBot="1">
      <c r="A20" s="193" t="s">
        <v>246</v>
      </c>
      <c r="B20" s="190">
        <v>30000</v>
      </c>
      <c r="C20" s="195">
        <f t="shared" si="5"/>
        <v>0</v>
      </c>
      <c r="D20" s="195">
        <f t="shared" si="0"/>
        <v>0</v>
      </c>
      <c r="E20" s="195"/>
      <c r="F20" s="195">
        <f>'[1]район'!C48</f>
        <v>0</v>
      </c>
      <c r="G20" s="195">
        <f>'[1]район'!D48</f>
        <v>0</v>
      </c>
      <c r="H20" s="195"/>
      <c r="I20" s="195">
        <v>0</v>
      </c>
      <c r="J20" s="195">
        <v>0</v>
      </c>
      <c r="K20" s="195"/>
    </row>
    <row r="21" spans="1:11" ht="36.75" customHeight="1">
      <c r="A21" s="193" t="s">
        <v>38</v>
      </c>
      <c r="B21" s="190"/>
      <c r="C21" s="196">
        <f>SUM(C4,C12,C20)</f>
        <v>99147.07</v>
      </c>
      <c r="D21" s="196">
        <f>SUM(D4,D12,D20)</f>
        <v>85890.83771</v>
      </c>
      <c r="E21" s="195">
        <f t="shared" si="4"/>
        <v>86.6297286546138</v>
      </c>
      <c r="F21" s="196">
        <f>SUM(F4,F12,F20)</f>
        <v>80083.97</v>
      </c>
      <c r="G21" s="196">
        <f>SUM(G4,G12,G20)</f>
        <v>68951.92799</v>
      </c>
      <c r="H21" s="195">
        <f t="shared" si="2"/>
        <v>86.09953776017846</v>
      </c>
      <c r="I21" s="196">
        <f>I4+I12</f>
        <v>19063.100000000002</v>
      </c>
      <c r="J21" s="196">
        <f>J4+J12</f>
        <v>16938.909720000003</v>
      </c>
      <c r="K21" s="195">
        <f>J21/I21*100</f>
        <v>88.85705745655218</v>
      </c>
    </row>
    <row r="22" spans="1:11" ht="33" customHeight="1">
      <c r="A22" s="193" t="s">
        <v>247</v>
      </c>
      <c r="B22" s="190">
        <v>20000</v>
      </c>
      <c r="C22" s="195">
        <v>310479.3406</v>
      </c>
      <c r="D22" s="195">
        <v>227252.75451</v>
      </c>
      <c r="E22" s="195">
        <f t="shared" si="4"/>
        <v>73.19416295810053</v>
      </c>
      <c r="F22" s="196">
        <f>Район!C45</f>
        <v>315975.69960000005</v>
      </c>
      <c r="G22" s="196">
        <f>Район!D45</f>
        <v>231177.13851</v>
      </c>
      <c r="H22" s="195">
        <f t="shared" si="2"/>
        <v>73.16294854403415</v>
      </c>
      <c r="I22" s="196">
        <f>Справка!BB30</f>
        <v>61369.814999999995</v>
      </c>
      <c r="J22" s="196">
        <f>Справка!BC30</f>
        <v>50533.69300000001</v>
      </c>
      <c r="K22" s="195">
        <f aca="true" t="shared" si="6" ref="K22:K38">J22/I22*100</f>
        <v>82.34291239105089</v>
      </c>
    </row>
    <row r="23" spans="1:12" ht="29.25" customHeight="1">
      <c r="A23" s="190" t="s">
        <v>248</v>
      </c>
      <c r="B23" s="190"/>
      <c r="C23" s="195">
        <f>C22+C21</f>
        <v>409626.4106</v>
      </c>
      <c r="D23" s="195">
        <f>D22+D21</f>
        <v>313143.59222</v>
      </c>
      <c r="E23" s="195">
        <f t="shared" si="4"/>
        <v>76.44614314817326</v>
      </c>
      <c r="F23" s="196">
        <f>F22+F21</f>
        <v>396059.6696</v>
      </c>
      <c r="G23" s="196">
        <f>G22+G21</f>
        <v>300129.06649999996</v>
      </c>
      <c r="H23" s="195">
        <f t="shared" si="2"/>
        <v>75.77874990480979</v>
      </c>
      <c r="I23" s="196">
        <f>I22+I21</f>
        <v>80432.915</v>
      </c>
      <c r="J23" s="196">
        <f>J22+J21</f>
        <v>67472.60272000001</v>
      </c>
      <c r="K23" s="195">
        <f t="shared" si="6"/>
        <v>83.88680519660392</v>
      </c>
      <c r="L23" s="144"/>
    </row>
    <row r="24" spans="1:11" ht="29.25" customHeight="1">
      <c r="A24" s="190" t="s">
        <v>249</v>
      </c>
      <c r="B24" s="190"/>
      <c r="C24" s="195">
        <f>C25+C26+C27+C28+C29+C30+C31+C32+C33+C34+C38+C35+C36+C37</f>
        <v>429277.3606000001</v>
      </c>
      <c r="D24" s="195">
        <f>D25+D26+D27+D28+D29+D30+D31+D32+D33+D34+D38+D35+D36+D37</f>
        <v>278313.48629000003</v>
      </c>
      <c r="E24" s="195">
        <f t="shared" si="4"/>
        <v>64.83302215169276</v>
      </c>
      <c r="F24" s="195">
        <f>SUM(F25:F38)</f>
        <v>409847.6096</v>
      </c>
      <c r="G24" s="195">
        <f>SUM(G25:G38)</f>
        <v>281971.72530999995</v>
      </c>
      <c r="H24" s="195">
        <f t="shared" si="2"/>
        <v>68.79916308044265</v>
      </c>
      <c r="I24" s="195">
        <f>I25+I26+I27+I28+I29+I30+I31+I32+I33+I34+I35+I36+I37+I38</f>
        <v>86295.925</v>
      </c>
      <c r="J24" s="195">
        <f>J25+J26+J27+J28+J29+J30+J31+J32+J33+J34+J35+J36+J37+J38</f>
        <v>50799.83797999999</v>
      </c>
      <c r="K24" s="195">
        <f t="shared" si="6"/>
        <v>58.867018320969365</v>
      </c>
    </row>
    <row r="25" spans="1:11" ht="30.75" customHeight="1">
      <c r="A25" s="194" t="s">
        <v>250</v>
      </c>
      <c r="B25" s="197" t="s">
        <v>49</v>
      </c>
      <c r="C25" s="213">
        <v>33237.7456</v>
      </c>
      <c r="D25" s="213">
        <v>24461.43045</v>
      </c>
      <c r="E25" s="163">
        <f t="shared" si="4"/>
        <v>73.59533568967444</v>
      </c>
      <c r="F25" s="163">
        <f>Район!C58</f>
        <v>20513.7756</v>
      </c>
      <c r="G25" s="163">
        <f>Район!D58</f>
        <v>15314.89922</v>
      </c>
      <c r="H25" s="163">
        <f t="shared" si="2"/>
        <v>74.65665764619166</v>
      </c>
      <c r="I25" s="163">
        <f>Справка!CC30</f>
        <v>12725.769999999999</v>
      </c>
      <c r="J25" s="163">
        <f>Справка!CD30</f>
        <v>9147.831229999998</v>
      </c>
      <c r="K25" s="195">
        <f t="shared" si="6"/>
        <v>71.88430428964219</v>
      </c>
    </row>
    <row r="26" spans="1:11" ht="30.75" customHeight="1">
      <c r="A26" s="194" t="s">
        <v>251</v>
      </c>
      <c r="B26" s="197" t="s">
        <v>56</v>
      </c>
      <c r="C26" s="213">
        <f>I26</f>
        <v>1467.5999999999997</v>
      </c>
      <c r="D26" s="213">
        <v>950.3011</v>
      </c>
      <c r="E26" s="163">
        <f t="shared" si="4"/>
        <v>64.7520509675661</v>
      </c>
      <c r="F26" s="163">
        <f>Район!C66</f>
        <v>1467.6</v>
      </c>
      <c r="G26" s="163">
        <f>Район!D66</f>
        <v>1467.6</v>
      </c>
      <c r="H26" s="163">
        <f t="shared" si="2"/>
        <v>100</v>
      </c>
      <c r="I26" s="163">
        <f>Справка!CR30</f>
        <v>1467.5999999999997</v>
      </c>
      <c r="J26" s="163">
        <f>Справка!CS30</f>
        <v>950.3011000000001</v>
      </c>
      <c r="K26" s="195">
        <f t="shared" si="6"/>
        <v>64.75205096756612</v>
      </c>
    </row>
    <row r="27" spans="1:11" ht="33" customHeight="1">
      <c r="A27" s="194" t="s">
        <v>252</v>
      </c>
      <c r="B27" s="197" t="s">
        <v>60</v>
      </c>
      <c r="C27" s="213">
        <f>F27+I27</f>
        <v>2457.703</v>
      </c>
      <c r="D27" s="213">
        <v>1730.35065</v>
      </c>
      <c r="E27" s="163">
        <f t="shared" si="4"/>
        <v>70.40519745469652</v>
      </c>
      <c r="F27" s="163">
        <f>Район!C68</f>
        <v>1806.7</v>
      </c>
      <c r="G27" s="163">
        <f>Район!D68</f>
        <v>1458.9864300000002</v>
      </c>
      <c r="H27" s="163">
        <f t="shared" si="2"/>
        <v>80.75421652737035</v>
      </c>
      <c r="I27" s="163">
        <f>Справка!CU30</f>
        <v>651.003</v>
      </c>
      <c r="J27" s="163">
        <f>Справка!CV30</f>
        <v>271.36422000000005</v>
      </c>
      <c r="K27" s="195">
        <f t="shared" si="6"/>
        <v>41.68401988930927</v>
      </c>
    </row>
    <row r="28" spans="1:11" ht="30" customHeight="1">
      <c r="A28" s="194" t="s">
        <v>253</v>
      </c>
      <c r="B28" s="197" t="s">
        <v>66</v>
      </c>
      <c r="C28" s="213">
        <v>58750.22338</v>
      </c>
      <c r="D28" s="213">
        <v>19585.82708</v>
      </c>
      <c r="E28" s="163">
        <f t="shared" si="4"/>
        <v>33.3374512524279</v>
      </c>
      <c r="F28" s="163">
        <f>Район!C72</f>
        <v>55340.36600000001</v>
      </c>
      <c r="G28" s="163">
        <f>Район!D72</f>
        <v>20804.664810000002</v>
      </c>
      <c r="H28" s="163">
        <f t="shared" si="2"/>
        <v>37.594013762034024</v>
      </c>
      <c r="I28" s="163">
        <f>Справка!CX30</f>
        <v>9626.807379999998</v>
      </c>
      <c r="J28" s="163">
        <f>Справка!CY30</f>
        <v>4998.11227</v>
      </c>
      <c r="K28" s="195">
        <f t="shared" si="6"/>
        <v>51.918689890728864</v>
      </c>
    </row>
    <row r="29" spans="1:11" ht="30" customHeight="1">
      <c r="A29" s="194" t="s">
        <v>254</v>
      </c>
      <c r="B29" s="197" t="s">
        <v>74</v>
      </c>
      <c r="C29" s="213">
        <v>24215.10662</v>
      </c>
      <c r="D29" s="213">
        <v>17136.28465</v>
      </c>
      <c r="E29" s="163">
        <f t="shared" si="4"/>
        <v>70.76691801904609</v>
      </c>
      <c r="F29" s="163">
        <f>Район!C77</f>
        <v>13552.768</v>
      </c>
      <c r="G29" s="163">
        <f>Район!D77</f>
        <v>12453.072</v>
      </c>
      <c r="H29" s="163">
        <f t="shared" si="2"/>
        <v>91.88581992992133</v>
      </c>
      <c r="I29" s="163">
        <f>Справка!DA30</f>
        <v>16743.83862</v>
      </c>
      <c r="J29" s="163">
        <f>Справка!DB30</f>
        <v>9665.016650000003</v>
      </c>
      <c r="K29" s="195">
        <f t="shared" si="6"/>
        <v>57.72282491098212</v>
      </c>
    </row>
    <row r="30" spans="1:11" ht="30" customHeight="1">
      <c r="A30" s="194" t="s">
        <v>255</v>
      </c>
      <c r="B30" s="197" t="s">
        <v>82</v>
      </c>
      <c r="C30" s="213">
        <f>F30</f>
        <v>60</v>
      </c>
      <c r="D30" s="213">
        <f>G30</f>
        <v>49.6</v>
      </c>
      <c r="E30" s="163">
        <f t="shared" si="4"/>
        <v>82.66666666666667</v>
      </c>
      <c r="F30" s="163">
        <f>Район!C81</f>
        <v>60</v>
      </c>
      <c r="G30" s="163">
        <f>Район!D81</f>
        <v>49.6</v>
      </c>
      <c r="H30" s="163">
        <f t="shared" si="2"/>
        <v>82.66666666666667</v>
      </c>
      <c r="I30" s="163">
        <v>0</v>
      </c>
      <c r="J30" s="163">
        <v>0</v>
      </c>
      <c r="K30" s="163">
        <v>0</v>
      </c>
    </row>
    <row r="31" spans="1:11" ht="30" customHeight="1">
      <c r="A31" s="194" t="s">
        <v>256</v>
      </c>
      <c r="B31" s="197" t="s">
        <v>86</v>
      </c>
      <c r="C31" s="213">
        <f>F31</f>
        <v>222388.77000000002</v>
      </c>
      <c r="D31" s="213">
        <f>G31</f>
        <v>160416.89059</v>
      </c>
      <c r="E31" s="163">
        <f t="shared" si="4"/>
        <v>72.13353920254157</v>
      </c>
      <c r="F31" s="163">
        <f>Район!C83</f>
        <v>222388.77000000002</v>
      </c>
      <c r="G31" s="163">
        <f>Район!D83</f>
        <v>160416.89059</v>
      </c>
      <c r="H31" s="163">
        <f t="shared" si="2"/>
        <v>72.13353920254157</v>
      </c>
      <c r="I31" s="163">
        <v>0</v>
      </c>
      <c r="J31" s="163">
        <v>0</v>
      </c>
      <c r="K31" s="163">
        <v>0</v>
      </c>
    </row>
    <row r="32" spans="1:12" ht="30" customHeight="1">
      <c r="A32" s="194" t="s">
        <v>257</v>
      </c>
      <c r="B32" s="197" t="s">
        <v>96</v>
      </c>
      <c r="C32" s="213">
        <v>30896.477</v>
      </c>
      <c r="D32" s="213">
        <v>18423.52149</v>
      </c>
      <c r="E32" s="163">
        <f t="shared" si="4"/>
        <v>59.629845467494555</v>
      </c>
      <c r="F32" s="163">
        <f>Район!C88</f>
        <v>4778.495</v>
      </c>
      <c r="G32" s="163">
        <f>Район!D88</f>
        <v>3697.43798</v>
      </c>
      <c r="H32" s="163">
        <f t="shared" si="2"/>
        <v>77.3766213002211</v>
      </c>
      <c r="I32" s="163">
        <f>Справка!DD30</f>
        <v>26737.982</v>
      </c>
      <c r="J32" s="163">
        <f>Справка!DE30</f>
        <v>15346.083509999997</v>
      </c>
      <c r="K32" s="163">
        <f t="shared" si="6"/>
        <v>57.394322092071114</v>
      </c>
      <c r="L32" s="162"/>
    </row>
    <row r="33" spans="1:12" ht="30" customHeight="1">
      <c r="A33" s="194" t="s">
        <v>279</v>
      </c>
      <c r="B33" s="197" t="s">
        <v>100</v>
      </c>
      <c r="C33" s="213">
        <f>F33</f>
        <v>32504.77</v>
      </c>
      <c r="D33" s="213">
        <f>G33</f>
        <v>21668.15544</v>
      </c>
      <c r="E33" s="163">
        <f t="shared" si="4"/>
        <v>66.66146365594958</v>
      </c>
      <c r="F33" s="163">
        <f>Район!C90</f>
        <v>32504.77</v>
      </c>
      <c r="G33" s="163">
        <f>Район!D90</f>
        <v>21668.15544</v>
      </c>
      <c r="H33" s="163">
        <f t="shared" si="2"/>
        <v>66.66146365594958</v>
      </c>
      <c r="I33" s="163">
        <v>0</v>
      </c>
      <c r="J33" s="163">
        <v>0</v>
      </c>
      <c r="K33" s="163">
        <v>0</v>
      </c>
      <c r="L33" s="162"/>
    </row>
    <row r="34" spans="1:11" ht="30" customHeight="1">
      <c r="A34" s="194" t="s">
        <v>258</v>
      </c>
      <c r="B34" s="197" t="s">
        <v>259</v>
      </c>
      <c r="C34" s="213">
        <v>17368.465</v>
      </c>
      <c r="D34" s="213">
        <v>9237.50579</v>
      </c>
      <c r="E34" s="163">
        <f t="shared" si="4"/>
        <v>53.185504821525676</v>
      </c>
      <c r="F34" s="163">
        <f>Район!C96</f>
        <v>17368.465</v>
      </c>
      <c r="G34" s="163">
        <f>Район!D96</f>
        <v>11626.14479</v>
      </c>
      <c r="H34" s="163">
        <f t="shared" si="2"/>
        <v>66.93824002293812</v>
      </c>
      <c r="I34" s="163">
        <f>Справка!DG30</f>
        <v>12649.364999999998</v>
      </c>
      <c r="J34" s="163">
        <f>Справка!DH30</f>
        <v>6387.6</v>
      </c>
      <c r="K34" s="163">
        <f t="shared" si="6"/>
        <v>50.49739650962718</v>
      </c>
    </row>
    <row r="35" spans="1:11" ht="30" customHeight="1">
      <c r="A35" s="194" t="s">
        <v>269</v>
      </c>
      <c r="B35" s="197" t="s">
        <v>117</v>
      </c>
      <c r="C35" s="213">
        <f>F35+I35</f>
        <v>5830.5</v>
      </c>
      <c r="D35" s="213">
        <f>G35+J35</f>
        <v>4584.412550000001</v>
      </c>
      <c r="E35" s="163">
        <f t="shared" si="4"/>
        <v>78.62812022982592</v>
      </c>
      <c r="F35" s="163">
        <f>Район!C101</f>
        <v>5633.3</v>
      </c>
      <c r="G35" s="163">
        <f>Район!D101</f>
        <v>4475.2675500000005</v>
      </c>
      <c r="H35" s="163">
        <f t="shared" si="2"/>
        <v>79.44308930822076</v>
      </c>
      <c r="I35" s="163">
        <f>Справка!DJ30</f>
        <v>197.20000000000002</v>
      </c>
      <c r="J35" s="163">
        <f>Справка!DK30</f>
        <v>109.145</v>
      </c>
      <c r="K35" s="163">
        <f t="shared" si="6"/>
        <v>55.34736308316429</v>
      </c>
    </row>
    <row r="36" spans="1:11" ht="30" customHeight="1">
      <c r="A36" s="194" t="s">
        <v>270</v>
      </c>
      <c r="B36" s="197" t="s">
        <v>129</v>
      </c>
      <c r="C36" s="213">
        <f>F36</f>
        <v>100</v>
      </c>
      <c r="D36" s="213">
        <f>G36</f>
        <v>69.2065</v>
      </c>
      <c r="E36" s="163">
        <f t="shared" si="4"/>
        <v>69.2065</v>
      </c>
      <c r="F36" s="163">
        <f>Район!C107</f>
        <v>100</v>
      </c>
      <c r="G36" s="163">
        <f>Район!D107</f>
        <v>69.2065</v>
      </c>
      <c r="H36" s="163">
        <f t="shared" si="2"/>
        <v>69.2065</v>
      </c>
      <c r="I36" s="163">
        <v>0</v>
      </c>
      <c r="J36" s="163">
        <v>0</v>
      </c>
      <c r="K36" s="163">
        <v>0</v>
      </c>
    </row>
    <row r="37" spans="1:11" ht="34.5" customHeight="1">
      <c r="A37" s="194" t="s">
        <v>271</v>
      </c>
      <c r="B37" s="197" t="s">
        <v>133</v>
      </c>
      <c r="C37" s="213">
        <f>F37</f>
        <v>0</v>
      </c>
      <c r="D37" s="213">
        <f>G37</f>
        <v>0</v>
      </c>
      <c r="E37" s="163" t="e">
        <f t="shared" si="4"/>
        <v>#DIV/0!</v>
      </c>
      <c r="F37" s="163">
        <f>Район!C109</f>
        <v>0</v>
      </c>
      <c r="G37" s="163">
        <f>Район!D109</f>
        <v>0</v>
      </c>
      <c r="H37" s="163">
        <v>0</v>
      </c>
      <c r="I37" s="163">
        <v>0</v>
      </c>
      <c r="J37" s="163">
        <v>0</v>
      </c>
      <c r="K37" s="163">
        <v>0</v>
      </c>
    </row>
    <row r="38" spans="1:11" ht="30" customHeight="1">
      <c r="A38" s="194" t="s">
        <v>260</v>
      </c>
      <c r="B38" s="197" t="s">
        <v>268</v>
      </c>
      <c r="C38" s="163">
        <v>0</v>
      </c>
      <c r="D38" s="163">
        <v>0</v>
      </c>
      <c r="E38" s="163">
        <v>0</v>
      </c>
      <c r="F38" s="163">
        <f>Район!C111</f>
        <v>34332.6</v>
      </c>
      <c r="G38" s="163">
        <f>Район!D111</f>
        <v>28469.8</v>
      </c>
      <c r="H38" s="163">
        <f t="shared" si="2"/>
        <v>82.92351875476952</v>
      </c>
      <c r="I38" s="163">
        <f>Справка!DM30</f>
        <v>5496.359</v>
      </c>
      <c r="J38" s="163">
        <f>Справка!DN30</f>
        <v>3924.384</v>
      </c>
      <c r="K38" s="163">
        <f t="shared" si="6"/>
        <v>71.39970296700051</v>
      </c>
    </row>
    <row r="39" spans="3:11" ht="15.75">
      <c r="C39" s="198"/>
      <c r="D39" s="198"/>
      <c r="E39" s="144"/>
      <c r="F39" s="282"/>
      <c r="G39" s="162"/>
      <c r="H39" s="144"/>
      <c r="I39" s="162"/>
      <c r="J39" s="162"/>
      <c r="K39" s="144"/>
    </row>
    <row r="40" spans="1:7" ht="15.75">
      <c r="A40" s="145" t="s">
        <v>140</v>
      </c>
      <c r="C40" s="162"/>
      <c r="D40" s="162"/>
      <c r="F40" s="144"/>
      <c r="G40" s="180"/>
    </row>
    <row r="41" spans="1:5" ht="15.75">
      <c r="A41" s="145" t="s">
        <v>261</v>
      </c>
      <c r="C41" s="144"/>
      <c r="D41" s="238" t="s">
        <v>262</v>
      </c>
      <c r="E41" s="238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87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5">
      <selection activeCell="D42" sqref="D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320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678.56472</v>
      </c>
      <c r="E5" s="12">
        <f aca="true" t="shared" si="0" ref="E5:E35">D5/C5*100</f>
        <v>70.36133554541682</v>
      </c>
      <c r="F5" s="12">
        <f aca="true" t="shared" si="1" ref="F5:F36">D5-C5</f>
        <v>-285.8352800000001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414.55764</v>
      </c>
      <c r="E6" s="12">
        <f t="shared" si="0"/>
        <v>81.33365509123014</v>
      </c>
      <c r="F6" s="12">
        <f t="shared" si="1"/>
        <v>-95.14236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414.55764</v>
      </c>
      <c r="E7" s="12">
        <f t="shared" si="0"/>
        <v>81.33365509123014</v>
      </c>
      <c r="F7" s="12">
        <f t="shared" si="1"/>
        <v>-95.14236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2.87508</v>
      </c>
      <c r="E8" s="12">
        <f t="shared" si="0"/>
        <v>16.912235294117647</v>
      </c>
      <c r="F8" s="12">
        <f t="shared" si="1"/>
        <v>-14.12492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2.87508</v>
      </c>
      <c r="E9" s="12">
        <f t="shared" si="0"/>
        <v>16.912235294117647</v>
      </c>
      <c r="F9" s="12">
        <f t="shared" si="1"/>
        <v>-14.12492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253.96699999999998</v>
      </c>
      <c r="E10" s="12">
        <f t="shared" si="0"/>
        <v>60.65607833771196</v>
      </c>
      <c r="F10" s="12">
        <f t="shared" si="1"/>
        <v>-164.733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240.5221</v>
      </c>
      <c r="E11" s="12">
        <f t="shared" si="0"/>
        <v>61.54608495394063</v>
      </c>
      <c r="F11" s="12">
        <f t="shared" si="1"/>
        <v>-150.27790000000002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13.4449</v>
      </c>
      <c r="E12" s="12">
        <f t="shared" si="0"/>
        <v>48.18960573476703</v>
      </c>
      <c r="F12" s="12">
        <f t="shared" si="1"/>
        <v>-14.455099999999998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7.165</v>
      </c>
      <c r="E15" s="12">
        <f t="shared" si="0"/>
        <v>37.71052631578947</v>
      </c>
      <c r="F15" s="12">
        <f t="shared" si="1"/>
        <v>-11.835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7.165</v>
      </c>
      <c r="E17" s="12">
        <f t="shared" si="0"/>
        <v>37.71052631578947</v>
      </c>
      <c r="F17" s="12">
        <f t="shared" si="1"/>
        <v>-11.835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200.536</v>
      </c>
      <c r="E20" s="12">
        <f t="shared" si="0"/>
        <v>105.54526315789474</v>
      </c>
      <c r="F20" s="12">
        <f t="shared" si="1"/>
        <v>10.536000000000001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158.93509</v>
      </c>
      <c r="E21" s="12">
        <f t="shared" si="0"/>
        <v>123.205496124031</v>
      </c>
      <c r="F21" s="12">
        <f t="shared" si="1"/>
        <v>29.935090000000002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37.71341</v>
      </c>
      <c r="E25" s="12">
        <f t="shared" si="0"/>
        <v>62.85568333333333</v>
      </c>
      <c r="F25" s="12">
        <f t="shared" si="1"/>
        <v>-22.286589999999997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879.1007199999999</v>
      </c>
      <c r="E38" s="12">
        <f aca="true" t="shared" si="2" ref="E38:E47">D38/C38*100</f>
        <v>76.15217602217601</v>
      </c>
      <c r="F38" s="12">
        <f aca="true" t="shared" si="3" ref="F38:F47">D38-C38</f>
        <v>-275.2992800000002</v>
      </c>
      <c r="G38" s="1"/>
    </row>
    <row r="39" spans="1:7" s="9" customFormat="1" ht="15.75">
      <c r="A39" s="10"/>
      <c r="B39" s="10" t="s">
        <v>39</v>
      </c>
      <c r="C39" s="11">
        <f>SUM(C40:C44)</f>
        <v>2656.058</v>
      </c>
      <c r="D39" s="11">
        <f>SUM(D40:D44)</f>
        <v>1918.996</v>
      </c>
      <c r="E39" s="12">
        <f t="shared" si="2"/>
        <v>72.2497776780477</v>
      </c>
      <c r="F39" s="12">
        <f t="shared" si="3"/>
        <v>-737.0619999999999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1929.8</v>
      </c>
      <c r="D40" s="12">
        <v>1569.92</v>
      </c>
      <c r="E40" s="12">
        <f t="shared" si="2"/>
        <v>81.35143538190486</v>
      </c>
      <c r="F40" s="12">
        <f t="shared" si="3"/>
        <v>-359.8799999999999</v>
      </c>
      <c r="G40" s="1"/>
      <c r="H40" s="21"/>
    </row>
    <row r="41" spans="1:7" s="9" customFormat="1" ht="15" customHeight="1">
      <c r="A41" s="13">
        <v>2020107010</v>
      </c>
      <c r="B41" s="13" t="s">
        <v>41</v>
      </c>
      <c r="C41" s="12">
        <v>80</v>
      </c>
      <c r="D41" s="12">
        <v>66.7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532.57</v>
      </c>
      <c r="D42" s="12">
        <v>168.721</v>
      </c>
      <c r="E42" s="12">
        <f t="shared" si="2"/>
        <v>31.6805302589331</v>
      </c>
      <c r="F42" s="12">
        <f t="shared" si="3"/>
        <v>-363.84900000000005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113.688</v>
      </c>
      <c r="D43" s="12">
        <v>113.655</v>
      </c>
      <c r="E43" s="12">
        <f t="shared" si="2"/>
        <v>99.97097318978257</v>
      </c>
      <c r="F43" s="12">
        <f t="shared" si="3"/>
        <v>-0.03300000000000125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3810.458</v>
      </c>
      <c r="D46" s="11">
        <f>SUM(D39,D38)</f>
        <v>2798.09672</v>
      </c>
      <c r="E46" s="12">
        <f t="shared" si="2"/>
        <v>73.43203153006804</v>
      </c>
      <c r="F46" s="12">
        <f t="shared" si="3"/>
        <v>-1012.3612800000001</v>
      </c>
      <c r="G46" s="1"/>
    </row>
    <row r="47" spans="1:7" s="9" customFormat="1" ht="15.75">
      <c r="A47" s="10"/>
      <c r="B47" s="22" t="s">
        <v>47</v>
      </c>
      <c r="C47" s="11">
        <f>C103-C46</f>
        <v>150</v>
      </c>
      <c r="D47" s="11">
        <f>D103-D46</f>
        <v>-158.4981200000002</v>
      </c>
      <c r="E47" s="12">
        <f t="shared" si="2"/>
        <v>-105.66541333333346</v>
      </c>
      <c r="F47" s="12">
        <f t="shared" si="3"/>
        <v>-308.4981200000002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824.01375</v>
      </c>
      <c r="D52" s="39">
        <f>SUM(D53:D55)</f>
        <v>631.87957</v>
      </c>
      <c r="E52" s="12">
        <f>D52/C52*100</f>
        <v>76.68313423168</v>
      </c>
      <c r="F52" s="12">
        <f>D52-C52</f>
        <v>-192.13418000000001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728.515</v>
      </c>
      <c r="D53" s="18">
        <v>549.97957</v>
      </c>
      <c r="E53" s="12">
        <f>D53/C53*100</f>
        <v>75.49323898615677</v>
      </c>
      <c r="F53" s="12">
        <f>D53-C53</f>
        <v>-178.53543000000002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70.01639</v>
      </c>
      <c r="E56" s="12">
        <f>D56/C56*100</f>
        <v>61.65042704939685</v>
      </c>
      <c r="F56" s="12">
        <f aca="true" t="shared" si="4" ref="F56:F103">D56-C56</f>
        <v>-43.55360999999999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70.01639</v>
      </c>
      <c r="E57" s="12">
        <f>D57/C57*100</f>
        <v>61.65042704939685</v>
      </c>
      <c r="F57" s="12">
        <f t="shared" si="4"/>
        <v>-43.55360999999999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19.40125</v>
      </c>
      <c r="D58" s="44">
        <f>SUM(D59:D61)</f>
        <v>1.40125</v>
      </c>
      <c r="E58" s="12">
        <f>D58/C58*100</f>
        <v>7.222472778815798</v>
      </c>
      <c r="F58" s="12">
        <f t="shared" si="4"/>
        <v>-18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272</v>
      </c>
      <c r="C60" s="49">
        <v>19.40125</v>
      </c>
      <c r="D60" s="49">
        <v>1.40125</v>
      </c>
      <c r="E60" s="12"/>
      <c r="F60" s="12">
        <f t="shared" si="4"/>
        <v>-18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 hidden="1">
      <c r="A62" s="37" t="s">
        <v>66</v>
      </c>
      <c r="B62" s="38" t="s">
        <v>67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985.228</v>
      </c>
      <c r="D66" s="39">
        <f>D68+D69</f>
        <v>674.25223</v>
      </c>
      <c r="E66" s="12">
        <f>D66/C66*100</f>
        <v>68.43616198484007</v>
      </c>
      <c r="F66" s="12">
        <f t="shared" si="4"/>
        <v>-310.9757699999999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985.228</v>
      </c>
      <c r="D69" s="18">
        <v>674.25223</v>
      </c>
      <c r="E69" s="12">
        <f>D69/C69*100</f>
        <v>68.43616198484007</v>
      </c>
      <c r="F69" s="12">
        <f t="shared" si="4"/>
        <v>-310.9757699999999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0.7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1661.3</v>
      </c>
      <c r="D77" s="39">
        <f>SUM(D78:D78)</f>
        <v>1101.97416</v>
      </c>
      <c r="E77" s="12">
        <f t="shared" si="5"/>
        <v>66.33203876482273</v>
      </c>
      <c r="F77" s="12">
        <f t="shared" si="4"/>
        <v>-559.32584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1661.3</v>
      </c>
      <c r="D78" s="18">
        <v>1101.97416</v>
      </c>
      <c r="E78" s="12">
        <f t="shared" si="5"/>
        <v>66.33203876482273</v>
      </c>
      <c r="F78" s="12">
        <f t="shared" si="4"/>
        <v>-559.32584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297.47</v>
      </c>
      <c r="D85" s="39">
        <f>SUM(D86:D88)</f>
        <v>105.6</v>
      </c>
      <c r="E85" s="11">
        <f t="shared" si="5"/>
        <v>35.49937808854674</v>
      </c>
      <c r="F85" s="12">
        <f t="shared" si="4"/>
        <v>-191.87000000000003</v>
      </c>
      <c r="G85" s="31"/>
    </row>
    <row r="86" spans="1:7" s="9" customFormat="1" ht="15.75" customHeight="1">
      <c r="A86" s="59">
        <v>1003</v>
      </c>
      <c r="B86" s="60" t="s">
        <v>113</v>
      </c>
      <c r="C86" s="18">
        <v>297.47</v>
      </c>
      <c r="D86" s="18">
        <v>105.6</v>
      </c>
      <c r="E86" s="12">
        <f t="shared" si="5"/>
        <v>35.49937808854674</v>
      </c>
      <c r="F86" s="12">
        <f t="shared" si="4"/>
        <v>-191.87000000000003</v>
      </c>
      <c r="G86" s="31"/>
    </row>
    <row r="87" spans="1:7" s="9" customFormat="1" ht="15.75" customHeight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7.25" customHeight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2">
        <f t="shared" si="4"/>
        <v>-5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8</v>
      </c>
      <c r="E90" s="11">
        <f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6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6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6"/>
        <v>0</v>
      </c>
      <c r="G93" s="31"/>
    </row>
    <row r="94" spans="1:7" s="9" customFormat="1" ht="29.2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6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>D95/C95*100</f>
        <v>#DIV/0!</v>
      </c>
      <c r="F95" s="12">
        <f t="shared" si="6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>D96/C96*100</f>
        <v>#DIV/0!</v>
      </c>
      <c r="F96" s="12">
        <f t="shared" si="6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6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6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46.475</v>
      </c>
      <c r="D99" s="39">
        <f>D100</f>
        <v>46.475</v>
      </c>
      <c r="E99" s="11"/>
      <c r="F99" s="12">
        <f t="shared" si="6"/>
        <v>0</v>
      </c>
    </row>
    <row r="100" spans="1:6" s="9" customFormat="1" ht="15.75" customHeight="1">
      <c r="A100" s="59">
        <v>1403</v>
      </c>
      <c r="B100" s="60" t="s">
        <v>291</v>
      </c>
      <c r="C100" s="18">
        <v>46.475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6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6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3960.458</v>
      </c>
      <c r="D103" s="39">
        <f>D52+D56+D58+D62+D66+D77+D85+D89+D99</f>
        <v>2639.5986</v>
      </c>
      <c r="E103" s="12">
        <f t="shared" si="5"/>
        <v>66.64882192918091</v>
      </c>
      <c r="F103" s="12">
        <f t="shared" si="4"/>
        <v>-1320.8594000000003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6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321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597.9731499999999</v>
      </c>
      <c r="E5" s="12">
        <f aca="true" t="shared" si="0" ref="E5:E35">D5/C5*100</f>
        <v>66.41194469124831</v>
      </c>
      <c r="F5" s="12">
        <f aca="true" t="shared" si="1" ref="F5:F36">D5-C5</f>
        <v>-302.4268500000002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252.12196</v>
      </c>
      <c r="E6" s="12">
        <f t="shared" si="0"/>
        <v>60.30183209758431</v>
      </c>
      <c r="F6" s="12">
        <f t="shared" si="1"/>
        <v>-165.97804000000002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252.12196</v>
      </c>
      <c r="E7" s="12">
        <f t="shared" si="0"/>
        <v>60.30183209758431</v>
      </c>
      <c r="F7" s="12">
        <f t="shared" si="1"/>
        <v>-165.97804000000002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11.71442</v>
      </c>
      <c r="E8" s="12">
        <f t="shared" si="0"/>
        <v>78.09613333333334</v>
      </c>
      <c r="F8" s="12">
        <f t="shared" si="1"/>
        <v>-3.2855799999999995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11.71442</v>
      </c>
      <c r="E9" s="12">
        <f t="shared" si="0"/>
        <v>78.09613333333334</v>
      </c>
      <c r="F9" s="12">
        <f t="shared" si="1"/>
        <v>-3.2855799999999995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322.23677</v>
      </c>
      <c r="E10" s="12">
        <f t="shared" si="0"/>
        <v>69.80865901213171</v>
      </c>
      <c r="F10" s="12">
        <f t="shared" si="1"/>
        <v>-139.36323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314.21348</v>
      </c>
      <c r="E11" s="12">
        <f t="shared" si="0"/>
        <v>73.55184456928839</v>
      </c>
      <c r="F11" s="12">
        <f t="shared" si="1"/>
        <v>-112.98651999999998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8.02329</v>
      </c>
      <c r="E12" s="12">
        <f t="shared" si="0"/>
        <v>23.323517441860464</v>
      </c>
      <c r="F12" s="12">
        <f t="shared" si="1"/>
        <v>-26.37671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11.9</v>
      </c>
      <c r="E15" s="12">
        <f t="shared" si="0"/>
        <v>208.7719298245614</v>
      </c>
      <c r="F15" s="12">
        <f t="shared" si="1"/>
        <v>6.2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11.9</v>
      </c>
      <c r="E17" s="12">
        <f t="shared" si="0"/>
        <v>208.7719298245614</v>
      </c>
      <c r="F17" s="12">
        <f t="shared" si="1"/>
        <v>6.2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41.32878</v>
      </c>
      <c r="E20" s="12">
        <f t="shared" si="0"/>
        <v>31.07427067669173</v>
      </c>
      <c r="F20" s="12">
        <f t="shared" si="1"/>
        <v>-91.67122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33.61488</v>
      </c>
      <c r="E21" s="12">
        <f t="shared" si="0"/>
        <v>74.69973333333333</v>
      </c>
      <c r="F21" s="12">
        <f t="shared" si="1"/>
        <v>-11.38512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7.7139</v>
      </c>
      <c r="E22" s="12">
        <f t="shared" si="0"/>
        <v>110.19857142857144</v>
      </c>
      <c r="F22" s="12">
        <f t="shared" si="1"/>
        <v>0.7138999999999998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639.30193</v>
      </c>
      <c r="E38" s="12">
        <f aca="true" t="shared" si="2" ref="E38:E47">D38/C38*100</f>
        <v>61.863937487903996</v>
      </c>
      <c r="F38" s="12">
        <f aca="true" t="shared" si="3" ref="F38:F47">D38-C38</f>
        <v>-394.0980700000001</v>
      </c>
      <c r="G38" s="1"/>
    </row>
    <row r="39" spans="1:7" s="9" customFormat="1" ht="15.75">
      <c r="A39" s="10"/>
      <c r="B39" s="10" t="s">
        <v>39</v>
      </c>
      <c r="C39" s="11">
        <f>SUM(C40:C44)</f>
        <v>3746.4629999999997</v>
      </c>
      <c r="D39" s="11">
        <f>SUM(D40:D44)</f>
        <v>2905.958</v>
      </c>
      <c r="E39" s="12">
        <f t="shared" si="2"/>
        <v>77.56537299314047</v>
      </c>
      <c r="F39" s="12">
        <f t="shared" si="3"/>
        <v>-840.5049999999997</v>
      </c>
      <c r="G39" s="1"/>
    </row>
    <row r="40" spans="1:8" s="9" customFormat="1" ht="15.75">
      <c r="A40" s="13">
        <v>2020100000</v>
      </c>
      <c r="B40" s="13" t="s">
        <v>40</v>
      </c>
      <c r="C40" s="12">
        <v>2448.7</v>
      </c>
      <c r="D40" s="12">
        <v>1996.46</v>
      </c>
      <c r="E40" s="12">
        <f t="shared" si="2"/>
        <v>81.53142483766898</v>
      </c>
      <c r="F40" s="12">
        <f t="shared" si="3"/>
        <v>-452.2399999999998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1184.06</v>
      </c>
      <c r="D42" s="12">
        <v>795.831</v>
      </c>
      <c r="E42" s="12">
        <f t="shared" si="2"/>
        <v>67.2120500650305</v>
      </c>
      <c r="F42" s="12">
        <f t="shared" si="3"/>
        <v>-388.2289999999999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113.703</v>
      </c>
      <c r="D43" s="12">
        <v>113.667</v>
      </c>
      <c r="E43" s="12">
        <f t="shared" si="2"/>
        <v>99.96833856626473</v>
      </c>
      <c r="F43" s="12">
        <f t="shared" si="3"/>
        <v>-0.036000000000001364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4779.862999999999</v>
      </c>
      <c r="D46" s="11">
        <f>SUM(D39,D38)</f>
        <v>3545.25993</v>
      </c>
      <c r="E46" s="12">
        <f t="shared" si="2"/>
        <v>74.17074359662611</v>
      </c>
      <c r="F46" s="12">
        <f t="shared" si="3"/>
        <v>-1234.6030699999992</v>
      </c>
      <c r="G46" s="1"/>
    </row>
    <row r="47" spans="1:7" s="9" customFormat="1" ht="15.75">
      <c r="A47" s="10"/>
      <c r="B47" s="22" t="s">
        <v>47</v>
      </c>
      <c r="C47" s="11">
        <f>C103-C46</f>
        <v>368.14000000000124</v>
      </c>
      <c r="D47" s="11">
        <f>D103-D46</f>
        <v>-629.6650999999997</v>
      </c>
      <c r="E47" s="12">
        <f t="shared" si="2"/>
        <v>-171.03957733470895</v>
      </c>
      <c r="F47" s="12">
        <f t="shared" si="3"/>
        <v>-997.805100000001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770.13175</v>
      </c>
      <c r="D52" s="39">
        <f>SUM(D53:D55)</f>
        <v>578.16505</v>
      </c>
      <c r="E52" s="12">
        <f>D52/C52*100</f>
        <v>75.0735247572899</v>
      </c>
      <c r="F52" s="12">
        <f>D52-C52</f>
        <v>-191.96670000000006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751.533</v>
      </c>
      <c r="D53" s="18">
        <v>578.16505</v>
      </c>
      <c r="E53" s="12">
        <f>D53/C53*100</f>
        <v>76.93142549961212</v>
      </c>
      <c r="F53" s="12">
        <f>D53-C53</f>
        <v>-173.36795000000006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89.52453</v>
      </c>
      <c r="E56" s="12">
        <f>D56/C56*100</f>
        <v>78.82762173109096</v>
      </c>
      <c r="F56" s="12">
        <f aca="true" t="shared" si="4" ref="F56:F103">D56-C56</f>
        <v>-24.045469999999995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89.52453</v>
      </c>
      <c r="E57" s="12">
        <f>D57/C57*100</f>
        <v>78.82762173109096</v>
      </c>
      <c r="F57" s="12">
        <f t="shared" si="4"/>
        <v>-24.045469999999995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37.30125</v>
      </c>
      <c r="D58" s="44">
        <f>D60+D61</f>
        <v>1.40125</v>
      </c>
      <c r="E58" s="12">
        <f>D58/C58*100</f>
        <v>3.7565765222345093</v>
      </c>
      <c r="F58" s="12">
        <f t="shared" si="4"/>
        <v>-35.900000000000006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6.5" customHeight="1">
      <c r="A60" s="47" t="s">
        <v>162</v>
      </c>
      <c r="B60" s="48" t="s">
        <v>272</v>
      </c>
      <c r="C60" s="49">
        <v>37.30125</v>
      </c>
      <c r="D60" s="49">
        <v>1.40125</v>
      </c>
      <c r="E60" s="12"/>
      <c r="F60" s="12">
        <f t="shared" si="4"/>
        <v>-35.900000000000006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 aca="true" t="shared" si="5" ref="E61:E66">D61/C61*100</f>
        <v>#DIV/0!</v>
      </c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307.64</v>
      </c>
      <c r="D62" s="39">
        <f>D63+D64+D65</f>
        <v>7.6375</v>
      </c>
      <c r="E62" s="39"/>
      <c r="F62" s="39">
        <f>F63+F64+F65</f>
        <v>-300.0025</v>
      </c>
      <c r="G62" s="31"/>
    </row>
    <row r="63" spans="1:7" s="9" customFormat="1" ht="17.25" customHeight="1">
      <c r="A63" s="40" t="s">
        <v>68</v>
      </c>
      <c r="B63" s="17" t="s">
        <v>69</v>
      </c>
      <c r="C63" s="18">
        <v>250</v>
      </c>
      <c r="D63" s="18">
        <v>0</v>
      </c>
      <c r="E63" s="12">
        <f t="shared" si="5"/>
        <v>0</v>
      </c>
      <c r="F63" s="12">
        <f t="shared" si="4"/>
        <v>-250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0</v>
      </c>
      <c r="D64" s="18">
        <v>0</v>
      </c>
      <c r="E64" s="12" t="e">
        <f t="shared" si="5"/>
        <v>#DIV/0!</v>
      </c>
      <c r="F64" s="12">
        <f t="shared" si="4"/>
        <v>0</v>
      </c>
      <c r="G64" s="31"/>
    </row>
    <row r="65" spans="1:7" s="9" customFormat="1" ht="14.25" customHeight="1">
      <c r="A65" s="47" t="s">
        <v>72</v>
      </c>
      <c r="B65" s="48" t="s">
        <v>73</v>
      </c>
      <c r="C65" s="18">
        <v>57.64</v>
      </c>
      <c r="D65" s="202">
        <v>7.6375</v>
      </c>
      <c r="E65" s="12"/>
      <c r="F65" s="12">
        <f t="shared" si="4"/>
        <v>-50.0025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1102.9</v>
      </c>
      <c r="D66" s="39">
        <f>D68+D69</f>
        <v>702.24674</v>
      </c>
      <c r="E66" s="12">
        <f t="shared" si="5"/>
        <v>63.67274820926648</v>
      </c>
      <c r="F66" s="12">
        <f t="shared" si="4"/>
        <v>-400.65326000000005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1102.9</v>
      </c>
      <c r="D69" s="18">
        <v>702.24674</v>
      </c>
      <c r="E69" s="12">
        <f>D69/C69*100</f>
        <v>63.67274820926648</v>
      </c>
      <c r="F69" s="12">
        <f t="shared" si="4"/>
        <v>-400.65326000000005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1673.1</v>
      </c>
      <c r="D77" s="39">
        <f>SUM(D78:D78)</f>
        <v>1011.41076</v>
      </c>
      <c r="E77" s="12">
        <f t="shared" si="6"/>
        <v>60.45130356822664</v>
      </c>
      <c r="F77" s="12">
        <f t="shared" si="4"/>
        <v>-661.6892399999999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1673.1</v>
      </c>
      <c r="D78" s="18">
        <v>1011.41076</v>
      </c>
      <c r="E78" s="12">
        <f t="shared" si="6"/>
        <v>60.45130356822664</v>
      </c>
      <c r="F78" s="12">
        <f t="shared" si="4"/>
        <v>-661.6892399999999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917.76</v>
      </c>
      <c r="D85" s="39">
        <f>SUM(D86:D88)</f>
        <v>407.8</v>
      </c>
      <c r="E85" s="11">
        <f t="shared" si="6"/>
        <v>44.434274755927476</v>
      </c>
      <c r="F85" s="12">
        <f t="shared" si="4"/>
        <v>-509.96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917.76</v>
      </c>
      <c r="D86" s="18">
        <v>407.8</v>
      </c>
      <c r="E86" s="12">
        <f t="shared" si="6"/>
        <v>44.434274755927476</v>
      </c>
      <c r="F86" s="12">
        <f t="shared" si="4"/>
        <v>-509.96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</v>
      </c>
      <c r="D89" s="39">
        <f>D90+D91+D92+D93+D94</f>
        <v>12.109</v>
      </c>
      <c r="E89" s="11">
        <f>D89/C89*100</f>
        <v>80.72666666666667</v>
      </c>
      <c r="F89" s="12">
        <f t="shared" si="4"/>
        <v>-2.891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</v>
      </c>
      <c r="D90" s="18">
        <v>12.109</v>
      </c>
      <c r="E90" s="11">
        <f aca="true" t="shared" si="7" ref="E90:E98">D90/C90*100</f>
        <v>80.72666666666667</v>
      </c>
      <c r="F90" s="12">
        <f>D90-C90</f>
        <v>-2.891</v>
      </c>
      <c r="G90" s="31"/>
    </row>
    <row r="91" spans="1:7" s="9" customFormat="1" ht="15.75" customHeight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210.6</v>
      </c>
      <c r="D99" s="39">
        <f>D100</f>
        <v>105.3</v>
      </c>
      <c r="E99" s="11"/>
      <c r="F99" s="12">
        <f t="shared" si="8"/>
        <v>-105.3</v>
      </c>
    </row>
    <row r="100" spans="1:6" s="9" customFormat="1" ht="15.75" customHeight="1">
      <c r="A100" s="59">
        <v>1403</v>
      </c>
      <c r="B100" s="60" t="s">
        <v>291</v>
      </c>
      <c r="C100" s="18">
        <v>210.6</v>
      </c>
      <c r="D100" s="18">
        <v>105.3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5148.003000000001</v>
      </c>
      <c r="D103" s="39">
        <f>SUM(D52,D56,D58,D62,D66,D70,D72,D77,D79,D85,D89,D99)</f>
        <v>2915.5948300000005</v>
      </c>
      <c r="E103" s="12">
        <f t="shared" si="6"/>
        <v>56.63545320389285</v>
      </c>
      <c r="F103" s="12">
        <f t="shared" si="4"/>
        <v>-2232.40817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7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322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421.88775000000004</v>
      </c>
      <c r="E5" s="12">
        <f aca="true" t="shared" si="0" ref="E5:E35">D5/C5*100</f>
        <v>67.9040318686625</v>
      </c>
      <c r="F5" s="12">
        <f aca="true" t="shared" si="1" ref="F5:F36">D5-C5</f>
        <v>-199.41224999999991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219.82118</v>
      </c>
      <c r="E6" s="12">
        <f t="shared" si="0"/>
        <v>92.05242043551088</v>
      </c>
      <c r="F6" s="12">
        <f t="shared" si="1"/>
        <v>-18.978820000000013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219.82118</v>
      </c>
      <c r="E7" s="12">
        <f t="shared" si="0"/>
        <v>92.05242043551088</v>
      </c>
      <c r="F7" s="12">
        <f t="shared" si="1"/>
        <v>-18.978820000000013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1.85822</v>
      </c>
      <c r="E8" s="12">
        <f t="shared" si="0"/>
        <v>37.1644</v>
      </c>
      <c r="F8" s="12">
        <f t="shared" si="1"/>
        <v>-3.14178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1.85822</v>
      </c>
      <c r="E9" s="12">
        <f t="shared" si="0"/>
        <v>37.1644</v>
      </c>
      <c r="F9" s="12">
        <f t="shared" si="1"/>
        <v>-3.14178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193.53835</v>
      </c>
      <c r="E10" s="12">
        <f t="shared" si="0"/>
        <v>52.54910399131144</v>
      </c>
      <c r="F10" s="12">
        <f t="shared" si="1"/>
        <v>-174.76164999999995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186.33903</v>
      </c>
      <c r="E11" s="12">
        <f t="shared" si="0"/>
        <v>54.342090988626424</v>
      </c>
      <c r="F11" s="12">
        <f t="shared" si="1"/>
        <v>-156.56096999999997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7.19932</v>
      </c>
      <c r="E12" s="12">
        <f t="shared" si="0"/>
        <v>28.34377952755906</v>
      </c>
      <c r="F12" s="12">
        <f t="shared" si="1"/>
        <v>-18.20068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6.67</v>
      </c>
      <c r="E15" s="12">
        <f t="shared" si="0"/>
        <v>72.50000000000001</v>
      </c>
      <c r="F15" s="12">
        <f t="shared" si="1"/>
        <v>-2.5299999999999994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6.67</v>
      </c>
      <c r="E17" s="12">
        <f t="shared" si="0"/>
        <v>72.50000000000001</v>
      </c>
      <c r="F17" s="12">
        <f t="shared" si="1"/>
        <v>-2.5299999999999994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69.83318</v>
      </c>
      <c r="E20" s="12">
        <f t="shared" si="0"/>
        <v>53.30777099236641</v>
      </c>
      <c r="F20" s="12">
        <f t="shared" si="1"/>
        <v>-61.16682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52.33058</v>
      </c>
      <c r="E21" s="12">
        <f t="shared" si="0"/>
        <v>46.72373214285714</v>
      </c>
      <c r="F21" s="12">
        <f t="shared" si="1"/>
        <v>-59.66942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7.5026</v>
      </c>
      <c r="E22" s="12">
        <f t="shared" si="0"/>
        <v>93.7825</v>
      </c>
      <c r="F22" s="12">
        <f t="shared" si="1"/>
        <v>-0.49739999999999984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29.2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491.72093000000007</v>
      </c>
      <c r="E38" s="12">
        <f aca="true" t="shared" si="2" ref="E38:E47">D38/C38*100</f>
        <v>65.36234613850858</v>
      </c>
      <c r="F38" s="12">
        <f aca="true" t="shared" si="3" ref="F38:F47">D38-C38</f>
        <v>-260.5790699999999</v>
      </c>
      <c r="G38" s="1"/>
    </row>
    <row r="39" spans="1:7" s="9" customFormat="1" ht="15.75">
      <c r="A39" s="10"/>
      <c r="B39" s="10" t="s">
        <v>39</v>
      </c>
      <c r="C39" s="11">
        <f>SUM(C40:C44)</f>
        <v>4700.472</v>
      </c>
      <c r="D39" s="11">
        <f>SUM(D40:D44)</f>
        <v>3628.91</v>
      </c>
      <c r="E39" s="12">
        <f t="shared" si="2"/>
        <v>77.20309790165754</v>
      </c>
      <c r="F39" s="12">
        <f t="shared" si="3"/>
        <v>-1071.562</v>
      </c>
      <c r="G39" s="1"/>
    </row>
    <row r="40" spans="1:8" s="9" customFormat="1" ht="15.75">
      <c r="A40" s="13">
        <v>2020100000</v>
      </c>
      <c r="B40" s="13" t="s">
        <v>40</v>
      </c>
      <c r="C40" s="12">
        <v>2244.7</v>
      </c>
      <c r="D40" s="12">
        <v>1833.26</v>
      </c>
      <c r="E40" s="12">
        <f t="shared" si="2"/>
        <v>81.67060186216422</v>
      </c>
      <c r="F40" s="12">
        <f t="shared" si="3"/>
        <v>-411.4399999999998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658.3</v>
      </c>
      <c r="D41" s="12">
        <v>627</v>
      </c>
      <c r="E41" s="12">
        <f t="shared" si="2"/>
        <v>95.24532887741152</v>
      </c>
      <c r="F41" s="12">
        <f t="shared" si="3"/>
        <v>-31.299999999999955</v>
      </c>
      <c r="G41" s="1"/>
    </row>
    <row r="42" spans="1:7" s="9" customFormat="1" ht="15.75">
      <c r="A42" s="13">
        <v>2020200000</v>
      </c>
      <c r="B42" s="13" t="s">
        <v>42</v>
      </c>
      <c r="C42" s="12">
        <v>1683.79</v>
      </c>
      <c r="D42" s="12">
        <v>1054.999</v>
      </c>
      <c r="E42" s="12">
        <f t="shared" si="2"/>
        <v>62.65621009745871</v>
      </c>
      <c r="F42" s="12">
        <f t="shared" si="3"/>
        <v>-628.7909999999999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113.682</v>
      </c>
      <c r="D43" s="12">
        <v>113.651</v>
      </c>
      <c r="E43" s="12">
        <f t="shared" si="2"/>
        <v>99.97273095124997</v>
      </c>
      <c r="F43" s="12">
        <f t="shared" si="3"/>
        <v>-0.03100000000000591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0.75" customHeight="1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5452.772</v>
      </c>
      <c r="D46" s="11">
        <f>SUM(D39,D38)</f>
        <v>4120.63093</v>
      </c>
      <c r="E46" s="12">
        <f t="shared" si="2"/>
        <v>75.56947053718733</v>
      </c>
      <c r="F46" s="12">
        <f t="shared" si="3"/>
        <v>-1332.1410699999997</v>
      </c>
      <c r="G46" s="1"/>
    </row>
    <row r="47" spans="1:7" s="9" customFormat="1" ht="15.75">
      <c r="A47" s="10"/>
      <c r="B47" s="22" t="s">
        <v>47</v>
      </c>
      <c r="C47" s="11">
        <f>C103-C46</f>
        <v>208.0000000000009</v>
      </c>
      <c r="D47" s="11">
        <f>D103-D46</f>
        <v>-1296.01577</v>
      </c>
      <c r="E47" s="12">
        <f t="shared" si="2"/>
        <v>-623.0845048076895</v>
      </c>
      <c r="F47" s="12">
        <f t="shared" si="3"/>
        <v>-1504.0157700000009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695.51075</v>
      </c>
      <c r="D52" s="39">
        <f>SUM(D53:D55)</f>
        <v>482.57721</v>
      </c>
      <c r="E52" s="12">
        <f>D52/C52*100</f>
        <v>69.38457960570702</v>
      </c>
      <c r="F52" s="12">
        <f>D52-C52</f>
        <v>-212.93354000000005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691.912</v>
      </c>
      <c r="D53" s="18">
        <v>482.57721</v>
      </c>
      <c r="E53" s="12">
        <f>D53/C53*100</f>
        <v>69.74546040536947</v>
      </c>
      <c r="F53" s="12">
        <f>D53-C53</f>
        <v>-209.33479000000005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70.45252</v>
      </c>
      <c r="E56" s="12">
        <f aca="true" t="shared" si="4" ref="E56:E61">D56/C56*100</f>
        <v>62.03444571629832</v>
      </c>
      <c r="F56" s="12">
        <f aca="true" t="shared" si="5" ref="F56:F103">D56-C56</f>
        <v>-43.117479999999986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70.45252</v>
      </c>
      <c r="E57" s="12">
        <f t="shared" si="4"/>
        <v>62.03444571629832</v>
      </c>
      <c r="F57" s="12">
        <f t="shared" si="5"/>
        <v>-43.117479999999986</v>
      </c>
    </row>
    <row r="58" spans="1:7" s="46" customFormat="1" ht="13.5" customHeight="1">
      <c r="A58" s="42" t="s">
        <v>60</v>
      </c>
      <c r="B58" s="43" t="s">
        <v>61</v>
      </c>
      <c r="C58" s="44">
        <f>C60</f>
        <v>51.40125</v>
      </c>
      <c r="D58" s="44">
        <f>SUM(D59:D61)</f>
        <v>13.40125</v>
      </c>
      <c r="E58" s="12">
        <f t="shared" si="4"/>
        <v>26.07183677439751</v>
      </c>
      <c r="F58" s="12">
        <f t="shared" si="5"/>
        <v>-38</v>
      </c>
      <c r="G58" s="45"/>
    </row>
    <row r="59" spans="1:7" s="46" customFormat="1" ht="15" customHeight="1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4.25" customHeight="1">
      <c r="A60" s="47" t="s">
        <v>162</v>
      </c>
      <c r="B60" s="48" t="s">
        <v>272</v>
      </c>
      <c r="C60" s="49">
        <v>51.40125</v>
      </c>
      <c r="D60" s="49">
        <v>13.40125</v>
      </c>
      <c r="E60" s="12">
        <f t="shared" si="4"/>
        <v>26.07183677439751</v>
      </c>
      <c r="F60" s="12">
        <f t="shared" si="5"/>
        <v>-38</v>
      </c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 t="e">
        <f t="shared" si="4"/>
        <v>#DIV/0!</v>
      </c>
      <c r="F61" s="12">
        <f t="shared" si="5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30</v>
      </c>
      <c r="D62" s="39">
        <f>D63+D64+D65</f>
        <v>24.975</v>
      </c>
      <c r="E62" s="12"/>
      <c r="F62" s="12">
        <f t="shared" si="5"/>
        <v>-5.024999999999999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5"/>
        <v>0</v>
      </c>
      <c r="G64" s="31"/>
    </row>
    <row r="65" spans="1:7" s="9" customFormat="1" ht="16.5" customHeight="1">
      <c r="A65" s="47" t="s">
        <v>72</v>
      </c>
      <c r="B65" s="48" t="s">
        <v>73</v>
      </c>
      <c r="C65" s="18">
        <v>30</v>
      </c>
      <c r="D65" s="18">
        <v>24.975</v>
      </c>
      <c r="E65" s="12"/>
      <c r="F65" s="12">
        <f t="shared" si="5"/>
        <v>-5.024999999999999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682.6</v>
      </c>
      <c r="D66" s="39">
        <f>D68+D69</f>
        <v>555.08365</v>
      </c>
      <c r="E66" s="12">
        <f>D66/C66*100</f>
        <v>81.31902285379432</v>
      </c>
      <c r="F66" s="12">
        <f t="shared" si="5"/>
        <v>-127.51634999999999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682.6</v>
      </c>
      <c r="D69" s="18">
        <v>555.08365</v>
      </c>
      <c r="E69" s="12">
        <f>D69/C69*100</f>
        <v>81.31902285379432</v>
      </c>
      <c r="F69" s="12">
        <f t="shared" si="5"/>
        <v>-127.51634999999999</v>
      </c>
      <c r="G69" s="53"/>
    </row>
    <row r="70" spans="1:7" s="52" customFormat="1" ht="12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2.7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2.7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2.7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2.7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2.7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2.7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3374.3</v>
      </c>
      <c r="D77" s="39">
        <f>SUM(D78:D78)</f>
        <v>1676.12553</v>
      </c>
      <c r="E77" s="12">
        <f t="shared" si="6"/>
        <v>49.673281273152945</v>
      </c>
      <c r="F77" s="12">
        <f t="shared" si="5"/>
        <v>-1698.1744700000002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3374.3</v>
      </c>
      <c r="D78" s="18">
        <v>1676.12553</v>
      </c>
      <c r="E78" s="12">
        <f t="shared" si="6"/>
        <v>49.673281273152945</v>
      </c>
      <c r="F78" s="12">
        <f t="shared" si="5"/>
        <v>-1698.1744700000002</v>
      </c>
      <c r="G78" s="31"/>
    </row>
    <row r="79" spans="1:7" s="9" customFormat="1" ht="0.75" customHeight="1" hidden="1">
      <c r="A79" s="37" t="s">
        <v>100</v>
      </c>
      <c r="B79" s="38" t="s">
        <v>265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6.7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6.5" customHeight="1">
      <c r="A85" s="57">
        <v>1000</v>
      </c>
      <c r="B85" s="58" t="s">
        <v>112</v>
      </c>
      <c r="C85" s="39">
        <f>SUM(C86:C88)</f>
        <v>711.39</v>
      </c>
      <c r="D85" s="39">
        <f>SUM(D86:D88)</f>
        <v>0</v>
      </c>
      <c r="E85" s="11"/>
      <c r="F85" s="12">
        <f t="shared" si="5"/>
        <v>-711.39</v>
      </c>
      <c r="G85" s="31"/>
    </row>
    <row r="86" spans="1:7" s="9" customFormat="1" ht="15.75" customHeight="1">
      <c r="A86" s="59">
        <v>1003</v>
      </c>
      <c r="B86" s="60" t="s">
        <v>113</v>
      </c>
      <c r="C86" s="18">
        <v>711.39</v>
      </c>
      <c r="D86" s="18">
        <v>0</v>
      </c>
      <c r="E86" s="12"/>
      <c r="F86" s="12">
        <f t="shared" si="5"/>
        <v>-711.39</v>
      </c>
      <c r="G86" s="31"/>
    </row>
    <row r="87" spans="1:7" s="9" customFormat="1" ht="14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" customHeight="1">
      <c r="A89" s="61" t="s">
        <v>117</v>
      </c>
      <c r="B89" s="38" t="s">
        <v>118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5"/>
        <v>0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2</v>
      </c>
      <c r="D90" s="18">
        <v>2</v>
      </c>
      <c r="E90" s="11">
        <f aca="true" t="shared" si="7" ref="E90:E96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0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</f>
        <v>5660.772000000001</v>
      </c>
      <c r="D103" s="39">
        <f>D52+D56+D58+D62+D66+D77+D85+D89</f>
        <v>2824.6151600000003</v>
      </c>
      <c r="E103" s="12">
        <f t="shared" si="6"/>
        <v>49.89805560089683</v>
      </c>
      <c r="F103" s="12">
        <f t="shared" si="5"/>
        <v>-2836.1568400000006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0">
      <selection activeCell="C42" sqref="C42"/>
    </sheetView>
  </sheetViews>
  <sheetFormatPr defaultColWidth="9.140625" defaultRowHeight="12.75"/>
  <cols>
    <col min="1" max="1" width="16.00390625" style="68" customWidth="1"/>
    <col min="2" max="2" width="49.7109375" style="69" customWidth="1"/>
    <col min="3" max="3" width="12.140625" style="2" customWidth="1"/>
    <col min="4" max="4" width="14.710937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323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255.31067000000002</v>
      </c>
      <c r="E5" s="12">
        <f aca="true" t="shared" si="0" ref="E5:E35">D5/C5*100</f>
        <v>81.64716021746082</v>
      </c>
      <c r="F5" s="12">
        <f aca="true" t="shared" si="1" ref="F5:F36">D5-C5</f>
        <v>-57.38933000000003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121.08789</v>
      </c>
      <c r="E6" s="12">
        <f t="shared" si="0"/>
        <v>206.63462457337883</v>
      </c>
      <c r="F6" s="12">
        <f t="shared" si="1"/>
        <v>62.48789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121.08789</v>
      </c>
      <c r="E7" s="12">
        <f t="shared" si="0"/>
        <v>206.63462457337883</v>
      </c>
      <c r="F7" s="12">
        <f t="shared" si="1"/>
        <v>62.48789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16.12875</v>
      </c>
      <c r="E8" s="12">
        <f t="shared" si="0"/>
        <v>1612.875</v>
      </c>
      <c r="F8" s="12">
        <f t="shared" si="1"/>
        <v>15.12875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16.12875</v>
      </c>
      <c r="E9" s="12">
        <f t="shared" si="0"/>
        <v>1612.875</v>
      </c>
      <c r="F9" s="12">
        <f t="shared" si="1"/>
        <v>15.12875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107.39403</v>
      </c>
      <c r="E10" s="12">
        <f t="shared" si="0"/>
        <v>44.05005332239541</v>
      </c>
      <c r="F10" s="12">
        <f t="shared" si="1"/>
        <v>-136.40597000000002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102.21802</v>
      </c>
      <c r="E11" s="12">
        <f t="shared" si="0"/>
        <v>46.9967908045977</v>
      </c>
      <c r="F11" s="12">
        <f t="shared" si="1"/>
        <v>-115.28198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5.17601</v>
      </c>
      <c r="E12" s="12">
        <f t="shared" si="0"/>
        <v>19.6806463878327</v>
      </c>
      <c r="F12" s="12">
        <f t="shared" si="1"/>
        <v>-21.12399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10.7</v>
      </c>
      <c r="E15" s="12">
        <f t="shared" si="0"/>
        <v>115.0537634408602</v>
      </c>
      <c r="F15" s="12">
        <f t="shared" si="1"/>
        <v>1.3999999999999986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10.7</v>
      </c>
      <c r="E17" s="12">
        <f t="shared" si="0"/>
        <v>115.0537634408602</v>
      </c>
      <c r="F17" s="12">
        <f t="shared" si="1"/>
        <v>1.3999999999999986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41.50541</v>
      </c>
      <c r="E20" s="12">
        <f t="shared" si="0"/>
        <v>58.45832394366197</v>
      </c>
      <c r="F20" s="12">
        <f t="shared" si="1"/>
        <v>-29.494590000000002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10.71631</v>
      </c>
      <c r="E21" s="12">
        <f t="shared" si="0"/>
        <v>38.272535714285716</v>
      </c>
      <c r="F21" s="12">
        <f t="shared" si="1"/>
        <v>-17.28369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30.7891</v>
      </c>
      <c r="E22" s="12">
        <f t="shared" si="0"/>
        <v>256.5758333333334</v>
      </c>
      <c r="F22" s="12">
        <f t="shared" si="1"/>
        <v>18.7891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296.81608</v>
      </c>
      <c r="E38" s="12">
        <f aca="true" t="shared" si="2" ref="E38:E47">D38/C38*100</f>
        <v>77.35628876726608</v>
      </c>
      <c r="F38" s="12">
        <f aca="true" t="shared" si="3" ref="F38:F47">D38-C38</f>
        <v>-86.88392000000005</v>
      </c>
      <c r="G38" s="1"/>
    </row>
    <row r="39" spans="1:7" s="9" customFormat="1" ht="15.75">
      <c r="A39" s="10"/>
      <c r="B39" s="10" t="s">
        <v>39</v>
      </c>
      <c r="C39" s="11">
        <f>C40+C41+C42+C43</f>
        <v>4078.7570000000005</v>
      </c>
      <c r="D39" s="11">
        <f>SUM(D40:D44)</f>
        <v>3774.291</v>
      </c>
      <c r="E39" s="12">
        <f t="shared" si="2"/>
        <v>92.53532387440585</v>
      </c>
      <c r="F39" s="12">
        <f t="shared" si="3"/>
        <v>-304.46600000000035</v>
      </c>
      <c r="G39" s="1"/>
    </row>
    <row r="40" spans="1:8" s="9" customFormat="1" ht="15.75">
      <c r="A40" s="13">
        <v>2020100000</v>
      </c>
      <c r="B40" s="13" t="s">
        <v>40</v>
      </c>
      <c r="C40" s="12">
        <v>1370.3</v>
      </c>
      <c r="D40" s="12">
        <v>1119.45</v>
      </c>
      <c r="E40" s="12">
        <f t="shared" si="2"/>
        <v>81.69378968109173</v>
      </c>
      <c r="F40" s="12">
        <f t="shared" si="3"/>
        <v>-250.8499999999999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106.7</v>
      </c>
      <c r="E41" s="12">
        <f t="shared" si="2"/>
        <v>83.359375</v>
      </c>
      <c r="F41" s="12">
        <f t="shared" si="3"/>
        <v>-21.299999999999997</v>
      </c>
      <c r="G41" s="1"/>
    </row>
    <row r="42" spans="1:7" s="9" customFormat="1" ht="15.75">
      <c r="A42" s="13">
        <v>2020200000</v>
      </c>
      <c r="B42" s="13" t="s">
        <v>42</v>
      </c>
      <c r="C42" s="12">
        <v>2525.8</v>
      </c>
      <c r="D42" s="12">
        <v>2493.502</v>
      </c>
      <c r="E42" s="12">
        <f t="shared" si="2"/>
        <v>98.72127642727055</v>
      </c>
      <c r="F42" s="12">
        <f t="shared" si="3"/>
        <v>-32.29800000000023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54.657</v>
      </c>
      <c r="D43" s="12">
        <v>54.639</v>
      </c>
      <c r="E43" s="12">
        <f t="shared" si="2"/>
        <v>99.96706734727483</v>
      </c>
      <c r="F43" s="12">
        <f t="shared" si="3"/>
        <v>-0.017999999999993577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15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4462.457</v>
      </c>
      <c r="D46" s="11">
        <f>SUM(D39,D38)</f>
        <v>4071.10708</v>
      </c>
      <c r="E46" s="12">
        <f t="shared" si="2"/>
        <v>91.23016938874706</v>
      </c>
      <c r="F46" s="12">
        <f t="shared" si="3"/>
        <v>-391.3499200000001</v>
      </c>
      <c r="G46" s="1"/>
    </row>
    <row r="47" spans="1:7" s="9" customFormat="1" ht="15.75">
      <c r="A47" s="10"/>
      <c r="B47" s="22" t="s">
        <v>47</v>
      </c>
      <c r="C47" s="11">
        <f>C103-C46</f>
        <v>216.61000000000058</v>
      </c>
      <c r="D47" s="11">
        <f>D103-D46</f>
        <v>-2242.24132</v>
      </c>
      <c r="E47" s="12">
        <f t="shared" si="2"/>
        <v>-1035.1513411199826</v>
      </c>
      <c r="F47" s="12">
        <f t="shared" si="3"/>
        <v>-2458.8513200000007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228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725.26575</v>
      </c>
      <c r="D52" s="39">
        <f>SUM(D53:D55)</f>
        <v>507.71278</v>
      </c>
      <c r="E52" s="12">
        <f>D52/C52*100</f>
        <v>70.00368899262098</v>
      </c>
      <c r="F52" s="12">
        <f>D52-C52</f>
        <v>-217.55297000000002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721.667</v>
      </c>
      <c r="D53" s="18">
        <v>507.71278</v>
      </c>
      <c r="E53" s="12">
        <f>D53/C53*100</f>
        <v>70.3527776661535</v>
      </c>
      <c r="F53" s="12">
        <f>D53-C53</f>
        <v>-213.95422000000002</v>
      </c>
      <c r="G53" s="31"/>
    </row>
    <row r="54" spans="1:7" s="9" customFormat="1" ht="16.5" customHeight="1" hidden="1">
      <c r="A54" s="40" t="s">
        <v>53</v>
      </c>
      <c r="B54" s="17" t="s">
        <v>54</v>
      </c>
      <c r="C54" s="18">
        <v>0</v>
      </c>
      <c r="D54" s="18"/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26.20653</v>
      </c>
      <c r="E56" s="12">
        <f>D56/C56*100</f>
        <v>48.00610001831837</v>
      </c>
      <c r="F56" s="12">
        <f aca="true" t="shared" si="4" ref="F56:F89">D56-C56</f>
        <v>-28.383470000000003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26.20653</v>
      </c>
      <c r="E57" s="12">
        <f>D57/C57*100</f>
        <v>48.00610001831837</v>
      </c>
      <c r="F57" s="12">
        <f t="shared" si="4"/>
        <v>-28.383470000000003</v>
      </c>
    </row>
    <row r="58" spans="1:7" s="46" customFormat="1" ht="14.25" customHeight="1">
      <c r="A58" s="42" t="s">
        <v>60</v>
      </c>
      <c r="B58" s="43" t="s">
        <v>61</v>
      </c>
      <c r="C58" s="44">
        <f>C59+C60+C61</f>
        <v>13.10125</v>
      </c>
      <c r="D58" s="44">
        <f>D59+D60+D61</f>
        <v>1.40125</v>
      </c>
      <c r="E58" s="12">
        <f>D58/C58*100</f>
        <v>10.69554431829024</v>
      </c>
      <c r="F58" s="12">
        <f t="shared" si="4"/>
        <v>-11.7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162</v>
      </c>
      <c r="B60" s="48" t="s">
        <v>272</v>
      </c>
      <c r="C60" s="49">
        <v>13.10125</v>
      </c>
      <c r="D60" s="49">
        <v>1.40125</v>
      </c>
      <c r="E60" s="12"/>
      <c r="F60" s="12">
        <f t="shared" si="4"/>
        <v>-11.7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1954.75</v>
      </c>
      <c r="D62" s="39">
        <f>D63+D64+D65</f>
        <v>0</v>
      </c>
      <c r="E62" s="12">
        <f>D62/C62*100</f>
        <v>0</v>
      </c>
      <c r="F62" s="12">
        <f t="shared" si="4"/>
        <v>-1954.75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70">
        <v>1882.95</v>
      </c>
      <c r="D64" s="18">
        <v>0</v>
      </c>
      <c r="E64" s="12"/>
      <c r="F64" s="12">
        <f t="shared" si="4"/>
        <v>-1882.95</v>
      </c>
      <c r="G64" s="31"/>
    </row>
    <row r="65" spans="1:7" s="9" customFormat="1" ht="34.5" customHeight="1">
      <c r="A65" s="47" t="s">
        <v>72</v>
      </c>
      <c r="B65" s="48" t="s">
        <v>73</v>
      </c>
      <c r="C65" s="18">
        <v>71.8</v>
      </c>
      <c r="D65" s="18">
        <v>0</v>
      </c>
      <c r="E65" s="12">
        <f>D65/C65*100</f>
        <v>0</v>
      </c>
      <c r="F65" s="12">
        <f t="shared" si="4"/>
        <v>-71.8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541</v>
      </c>
      <c r="D66" s="39">
        <f>D68+D69</f>
        <v>289.48023</v>
      </c>
      <c r="E66" s="12">
        <f>D66/C66*100</f>
        <v>53.50836044362293</v>
      </c>
      <c r="F66" s="12">
        <f t="shared" si="4"/>
        <v>-251.51977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6.5" customHeight="1">
      <c r="A68" s="40" t="s">
        <v>78</v>
      </c>
      <c r="B68" s="51" t="s">
        <v>79</v>
      </c>
      <c r="C68" s="18">
        <v>2.1</v>
      </c>
      <c r="D68" s="18">
        <v>0</v>
      </c>
      <c r="E68" s="12"/>
      <c r="F68" s="12">
        <f t="shared" si="4"/>
        <v>-2.1</v>
      </c>
      <c r="G68" s="31"/>
    </row>
    <row r="69" spans="1:7" s="9" customFormat="1" ht="16.5" customHeight="1">
      <c r="A69" s="41" t="s">
        <v>80</v>
      </c>
      <c r="B69" s="17" t="s">
        <v>81</v>
      </c>
      <c r="C69" s="18">
        <v>538.9</v>
      </c>
      <c r="D69" s="18">
        <v>289.48023</v>
      </c>
      <c r="E69" s="12">
        <f>D69/C69*100</f>
        <v>53.71687326034515</v>
      </c>
      <c r="F69" s="12">
        <f t="shared" si="4"/>
        <v>-249.41976999999997</v>
      </c>
      <c r="G69" s="53"/>
    </row>
    <row r="70" spans="1:7" s="52" customFormat="1" ht="0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84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873.3</v>
      </c>
      <c r="D77" s="39">
        <f>SUM(D78:D78)</f>
        <v>490.10497</v>
      </c>
      <c r="E77" s="12">
        <f t="shared" si="5"/>
        <v>56.12103171876789</v>
      </c>
      <c r="F77" s="12">
        <f t="shared" si="4"/>
        <v>-383.19503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873.3</v>
      </c>
      <c r="D78" s="18">
        <v>490.10497</v>
      </c>
      <c r="E78" s="12">
        <f t="shared" si="5"/>
        <v>56.12103171876789</v>
      </c>
      <c r="F78" s="12">
        <f t="shared" si="4"/>
        <v>-383.19503</v>
      </c>
      <c r="G78" s="31"/>
    </row>
    <row r="79" spans="1:7" s="9" customFormat="1" ht="13.5" customHeight="1" hidden="1">
      <c r="A79" s="37" t="s">
        <v>100</v>
      </c>
      <c r="B79" s="38" t="s">
        <v>266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509.96</v>
      </c>
      <c r="D85" s="39">
        <f>SUM(D86:D88)</f>
        <v>509.96</v>
      </c>
      <c r="E85" s="11"/>
      <c r="F85" s="12">
        <f t="shared" si="4"/>
        <v>0</v>
      </c>
      <c r="G85" s="31"/>
    </row>
    <row r="86" spans="1:7" s="9" customFormat="1" ht="17.25" customHeight="1">
      <c r="A86" s="59">
        <v>1003</v>
      </c>
      <c r="B86" s="60" t="s">
        <v>113</v>
      </c>
      <c r="C86" s="18">
        <v>509.96</v>
      </c>
      <c r="D86" s="18">
        <v>509.96</v>
      </c>
      <c r="E86" s="12"/>
      <c r="F86" s="12">
        <f t="shared" si="4"/>
        <v>0</v>
      </c>
      <c r="G86" s="31"/>
    </row>
    <row r="87" spans="1:7" s="9" customFormat="1" ht="17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6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117</v>
      </c>
      <c r="B89" s="38" t="s">
        <v>118</v>
      </c>
      <c r="C89" s="39">
        <f>C90+C91+C92+C93+C94</f>
        <v>7.1</v>
      </c>
      <c r="D89" s="39">
        <f>D90+D91+D92+D93+D94</f>
        <v>4</v>
      </c>
      <c r="E89" s="11">
        <f>D89/C89*100</f>
        <v>56.33802816901409</v>
      </c>
      <c r="F89" s="12">
        <f t="shared" si="4"/>
        <v>-3.0999999999999996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7.1</v>
      </c>
      <c r="D90" s="18">
        <v>4</v>
      </c>
      <c r="E90" s="11">
        <f aca="true" t="shared" si="6" ref="E90:E98">D90/C90*100</f>
        <v>56.33802816901409</v>
      </c>
      <c r="F90" s="12">
        <f>D90-C90</f>
        <v>-3.0999999999999996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C52+C56+C58+C62+C66+C77++C85+C89</f>
        <v>4679.067000000001</v>
      </c>
      <c r="D103" s="39">
        <f>D52+D56+D58+D62+D66+D77++D85+D89</f>
        <v>1828.8657600000001</v>
      </c>
      <c r="E103" s="39">
        <f>E52+E56+E58+E62+E66+E77+E89</f>
        <v>294.6727536606345</v>
      </c>
      <c r="F103" s="39">
        <f>F52+F56+F58+F62+F66+F77+F89</f>
        <v>-2850.20124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3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324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413.75943</v>
      </c>
      <c r="E5" s="12">
        <f aca="true" t="shared" si="0" ref="E5:E35">D5/C5*100</f>
        <v>80.2170279177976</v>
      </c>
      <c r="F5" s="12">
        <f aca="true" t="shared" si="1" ref="F5:F36">D5-C5</f>
        <v>-102.04056999999995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183.02454</v>
      </c>
      <c r="E6" s="12">
        <f t="shared" si="0"/>
        <v>101.00692052980133</v>
      </c>
      <c r="F6" s="12">
        <f t="shared" si="1"/>
        <v>1.8245400000000132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183.02454</v>
      </c>
      <c r="E7" s="12">
        <f t="shared" si="0"/>
        <v>101.00692052980133</v>
      </c>
      <c r="F7" s="12">
        <f t="shared" si="1"/>
        <v>1.8245400000000132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41.15688</v>
      </c>
      <c r="E8" s="12">
        <f t="shared" si="0"/>
        <v>216.61515789473685</v>
      </c>
      <c r="F8" s="12">
        <f t="shared" si="1"/>
        <v>22.15688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41.15688</v>
      </c>
      <c r="E9" s="12">
        <f t="shared" si="0"/>
        <v>216.61515789473685</v>
      </c>
      <c r="F9" s="12">
        <f t="shared" si="1"/>
        <v>22.15688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176.37801000000002</v>
      </c>
      <c r="E10" s="12">
        <f t="shared" si="0"/>
        <v>57.639872549019614</v>
      </c>
      <c r="F10" s="12">
        <f t="shared" si="1"/>
        <v>-129.62198999999998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171.22432</v>
      </c>
      <c r="E11" s="12">
        <f t="shared" si="0"/>
        <v>59.14484283246978</v>
      </c>
      <c r="F11" s="12">
        <f t="shared" si="1"/>
        <v>-118.27568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5.15369</v>
      </c>
      <c r="E12" s="12">
        <f t="shared" si="0"/>
        <v>31.23448484848485</v>
      </c>
      <c r="F12" s="12">
        <f t="shared" si="1"/>
        <v>-11.346309999999999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13.2</v>
      </c>
      <c r="E15" s="12">
        <f t="shared" si="0"/>
        <v>137.5</v>
      </c>
      <c r="F15" s="12">
        <f t="shared" si="1"/>
        <v>3.5999999999999996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13.2</v>
      </c>
      <c r="E17" s="12">
        <f t="shared" si="0"/>
        <v>137.5</v>
      </c>
      <c r="F17" s="12">
        <f t="shared" si="1"/>
        <v>3.5999999999999996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262.84526</v>
      </c>
      <c r="E20" s="12">
        <f t="shared" si="0"/>
        <v>268.2094489795918</v>
      </c>
      <c r="F20" s="12">
        <f t="shared" si="1"/>
        <v>164.84526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41.25442</v>
      </c>
      <c r="E21" s="12">
        <f t="shared" si="0"/>
        <v>61.57376119402985</v>
      </c>
      <c r="F21" s="12">
        <f t="shared" si="1"/>
        <v>-25.745579999999997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60.2805</v>
      </c>
      <c r="E25" s="12">
        <f t="shared" si="0"/>
        <v>200.935</v>
      </c>
      <c r="F25" s="12">
        <f t="shared" si="1"/>
        <v>30.280500000000004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159.24124</v>
      </c>
      <c r="E34" s="12">
        <f t="shared" si="0"/>
        <v>15924.124</v>
      </c>
      <c r="F34" s="12">
        <f t="shared" si="1"/>
        <v>158.24124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676.60469</v>
      </c>
      <c r="E38" s="12">
        <f aca="true" t="shared" si="2" ref="E38:E47">D38/C38*100</f>
        <v>110.23210980775498</v>
      </c>
      <c r="F38" s="12">
        <f aca="true" t="shared" si="3" ref="F38:F47">D38-C38</f>
        <v>62.80469000000005</v>
      </c>
      <c r="G38" s="1"/>
    </row>
    <row r="39" spans="1:7" s="9" customFormat="1" ht="15.75">
      <c r="A39" s="10"/>
      <c r="B39" s="10" t="s">
        <v>39</v>
      </c>
      <c r="C39" s="11">
        <f>SUM(C40:C44)</f>
        <v>2250.143</v>
      </c>
      <c r="D39" s="11">
        <f>SUM(D40:D44)</f>
        <v>1928.6889999999999</v>
      </c>
      <c r="E39" s="12">
        <f t="shared" si="2"/>
        <v>85.71406350618605</v>
      </c>
      <c r="F39" s="12">
        <f t="shared" si="3"/>
        <v>-321.4540000000002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1563.2</v>
      </c>
      <c r="D40" s="12">
        <v>1275.01</v>
      </c>
      <c r="E40" s="12">
        <f t="shared" si="2"/>
        <v>81.56409928352097</v>
      </c>
      <c r="F40" s="12">
        <f t="shared" si="3"/>
        <v>-288.19000000000005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540.06</v>
      </c>
      <c r="E42" s="12">
        <f t="shared" si="2"/>
        <v>94.20198848770276</v>
      </c>
      <c r="F42" s="12">
        <f t="shared" si="3"/>
        <v>-33.24000000000001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113.643</v>
      </c>
      <c r="D43" s="12">
        <v>113.619</v>
      </c>
      <c r="E43" s="12">
        <f t="shared" si="2"/>
        <v>99.97888123333597</v>
      </c>
      <c r="F43" s="12">
        <f t="shared" si="3"/>
        <v>-0.02400000000000091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2863.943</v>
      </c>
      <c r="D46" s="11">
        <f>SUM(D39,D38)</f>
        <v>2605.29369</v>
      </c>
      <c r="E46" s="12">
        <f t="shared" si="2"/>
        <v>90.96876893150456</v>
      </c>
      <c r="F46" s="12">
        <f t="shared" si="3"/>
        <v>-258.64931000000024</v>
      </c>
      <c r="G46" s="1"/>
    </row>
    <row r="47" spans="1:7" s="9" customFormat="1" ht="15.75">
      <c r="A47" s="10"/>
      <c r="B47" s="22" t="s">
        <v>47</v>
      </c>
      <c r="C47" s="11">
        <f>C103-C46</f>
        <v>460.5999999999999</v>
      </c>
      <c r="D47" s="11">
        <f>D103-D46</f>
        <v>-370.93771000000015</v>
      </c>
      <c r="E47" s="12">
        <f t="shared" si="2"/>
        <v>-80.53358879722107</v>
      </c>
      <c r="F47" s="12">
        <f t="shared" si="3"/>
        <v>-831.5377100000001</v>
      </c>
      <c r="G47" s="23"/>
    </row>
    <row r="48" spans="1:7" s="9" customFormat="1" ht="15" customHeight="1">
      <c r="A48" s="24"/>
      <c r="B48" s="25"/>
      <c r="C48" s="26"/>
      <c r="D48" s="181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675.9817499999999</v>
      </c>
      <c r="D52" s="39">
        <f>SUM(D53:D55)</f>
        <v>422.05614</v>
      </c>
      <c r="E52" s="12">
        <f>D52/C52*100</f>
        <v>62.4360258246617</v>
      </c>
      <c r="F52" s="12">
        <f>D52-C52</f>
        <v>-253.9256099999999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663.583</v>
      </c>
      <c r="D53" s="18">
        <v>422.05614</v>
      </c>
      <c r="E53" s="12">
        <f>D53/C53*100</f>
        <v>63.60261489519774</v>
      </c>
      <c r="F53" s="12">
        <f>D53-C53</f>
        <v>-241.52685999999994</v>
      </c>
      <c r="G53" s="31"/>
    </row>
    <row r="54" spans="1:7" s="9" customFormat="1" ht="14.25" customHeight="1">
      <c r="A54" s="40" t="s">
        <v>53</v>
      </c>
      <c r="B54" s="17" t="s">
        <v>54</v>
      </c>
      <c r="C54" s="18">
        <v>3.8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60.68432</v>
      </c>
      <c r="E56" s="12">
        <f>D56/C56*100</f>
        <v>53.43811201127158</v>
      </c>
      <c r="F56" s="12">
        <f aca="true" t="shared" si="4" ref="F56:F103">D56-C56</f>
        <v>-52.87568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60.68432</v>
      </c>
      <c r="E57" s="12">
        <f>D57/C57*100</f>
        <v>53.43811201127158</v>
      </c>
      <c r="F57" s="12">
        <f t="shared" si="4"/>
        <v>-52.87568</v>
      </c>
    </row>
    <row r="58" spans="1:7" s="46" customFormat="1" ht="15" customHeight="1">
      <c r="A58" s="42" t="s">
        <v>60</v>
      </c>
      <c r="B58" s="43" t="s">
        <v>61</v>
      </c>
      <c r="C58" s="44">
        <f>C60</f>
        <v>23.20125</v>
      </c>
      <c r="D58" s="44">
        <f>SUM(D59:D61)</f>
        <v>17.80125</v>
      </c>
      <c r="E58" s="12">
        <f>D58/C58*100</f>
        <v>76.7253919508647</v>
      </c>
      <c r="F58" s="12">
        <f t="shared" si="4"/>
        <v>-5.400000000000002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272</v>
      </c>
      <c r="C60" s="49">
        <v>23.20125</v>
      </c>
      <c r="D60" s="49">
        <v>17.80125</v>
      </c>
      <c r="E60" s="12"/>
      <c r="F60" s="12"/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>
        <f>D61/C60*100</f>
        <v>0</v>
      </c>
      <c r="F61" s="12">
        <f>D61-C60</f>
        <v>-23.20125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330.7</v>
      </c>
      <c r="D62" s="39">
        <f>D63+D64+D65</f>
        <v>42.16645</v>
      </c>
      <c r="E62" s="12">
        <f>D62/C62*100</f>
        <v>12.750665255518598</v>
      </c>
      <c r="F62" s="12">
        <f t="shared" si="4"/>
        <v>-288.53355</v>
      </c>
      <c r="G62" s="31"/>
    </row>
    <row r="63" spans="1:7" s="9" customFormat="1" ht="0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310.7</v>
      </c>
      <c r="D64" s="18">
        <v>42.16645</v>
      </c>
      <c r="E64" s="12">
        <f>D64/C64*100</f>
        <v>13.571435468297393</v>
      </c>
      <c r="F64" s="12">
        <f t="shared" si="4"/>
        <v>-268.53355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20</v>
      </c>
      <c r="D65" s="18">
        <v>0</v>
      </c>
      <c r="E65" s="12">
        <f>D65/C65*100</f>
        <v>0</v>
      </c>
      <c r="F65" s="12">
        <f t="shared" si="4"/>
        <v>-20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715.4</v>
      </c>
      <c r="D66" s="39">
        <f>D68+D69</f>
        <v>604.56417</v>
      </c>
      <c r="E66" s="12">
        <f>D66/C66*100</f>
        <v>84.50715264187866</v>
      </c>
      <c r="F66" s="12">
        <f t="shared" si="4"/>
        <v>-110.83582999999999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715.4</v>
      </c>
      <c r="D69" s="18">
        <v>604.56417</v>
      </c>
      <c r="E69" s="12">
        <f>D69/C69*100</f>
        <v>84.50715264187866</v>
      </c>
      <c r="F69" s="12">
        <f t="shared" si="4"/>
        <v>-110.83582999999999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918.3</v>
      </c>
      <c r="D77" s="39">
        <f>SUM(D78:D78)</f>
        <v>610.28365</v>
      </c>
      <c r="E77" s="12">
        <f t="shared" si="5"/>
        <v>66.45798214091255</v>
      </c>
      <c r="F77" s="12">
        <f t="shared" si="4"/>
        <v>-308.01635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918.3</v>
      </c>
      <c r="D78" s="18">
        <v>610.28365</v>
      </c>
      <c r="E78" s="12">
        <f t="shared" si="5"/>
        <v>66.45798214091255</v>
      </c>
      <c r="F78" s="12">
        <f t="shared" si="4"/>
        <v>-308.01635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407.1</v>
      </c>
      <c r="D85" s="39">
        <f>SUM(D86:D88)</f>
        <v>407.1</v>
      </c>
      <c r="E85" s="11">
        <f t="shared" si="5"/>
        <v>100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407.1</v>
      </c>
      <c r="D86" s="18">
        <v>407.1</v>
      </c>
      <c r="E86" s="12">
        <f t="shared" si="5"/>
        <v>100</v>
      </c>
      <c r="F86" s="12">
        <f t="shared" si="4"/>
        <v>0</v>
      </c>
      <c r="G86" s="31"/>
    </row>
    <row r="87" spans="1:7" s="9" customFormat="1" ht="5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8.9</v>
      </c>
      <c r="D89" s="39">
        <f>D90+D91+D92+D93+D94</f>
        <v>4</v>
      </c>
      <c r="E89" s="11">
        <f>D89/C89*100</f>
        <v>44.9438202247191</v>
      </c>
      <c r="F89" s="12">
        <f t="shared" si="4"/>
        <v>-4.9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8.9</v>
      </c>
      <c r="D90" s="18">
        <v>4</v>
      </c>
      <c r="E90" s="12">
        <f aca="true" t="shared" si="6" ref="E90:E100">D90/C90*100</f>
        <v>44.9438202247191</v>
      </c>
      <c r="F90" s="12">
        <f>D90-C90</f>
        <v>-4.9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2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131.4</v>
      </c>
      <c r="D99" s="39">
        <f>D100</f>
        <v>65.7</v>
      </c>
      <c r="E99" s="12">
        <f t="shared" si="6"/>
        <v>50</v>
      </c>
      <c r="F99" s="12">
        <f t="shared" si="7"/>
        <v>-65.7</v>
      </c>
    </row>
    <row r="100" spans="1:6" s="9" customFormat="1" ht="15.75" customHeight="1">
      <c r="A100" s="59">
        <v>1403</v>
      </c>
      <c r="B100" s="60" t="s">
        <v>291</v>
      </c>
      <c r="C100" s="18">
        <v>131.4</v>
      </c>
      <c r="D100" s="18">
        <v>65.7</v>
      </c>
      <c r="E100" s="12">
        <f t="shared" si="6"/>
        <v>50</v>
      </c>
      <c r="F100" s="12">
        <f t="shared" si="7"/>
        <v>-65.7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3324.543</v>
      </c>
      <c r="D103" s="39">
        <f>D52+D56+D58+D62+D66+D77+D85+D89+D99</f>
        <v>2234.35598</v>
      </c>
      <c r="E103" s="12">
        <f t="shared" si="5"/>
        <v>67.20791338839653</v>
      </c>
      <c r="F103" s="12">
        <f t="shared" si="4"/>
        <v>-1090.1870200000003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325</v>
      </c>
      <c r="B1" s="281"/>
      <c r="C1" s="281"/>
      <c r="D1" s="281"/>
      <c r="E1" s="281"/>
      <c r="F1" s="281"/>
      <c r="G1" s="1"/>
    </row>
    <row r="2" spans="1:7" ht="21.75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199.39903</v>
      </c>
      <c r="E5" s="12">
        <f aca="true" t="shared" si="0" ref="E5:E35">D5/C5*100</f>
        <v>79.60041117764473</v>
      </c>
      <c r="F5" s="12">
        <f aca="true" t="shared" si="1" ref="F5:F36">D5-C5</f>
        <v>-51.10096999999996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48.71201</v>
      </c>
      <c r="E6" s="12">
        <f t="shared" si="0"/>
        <v>82.98468483816012</v>
      </c>
      <c r="F6" s="12">
        <f t="shared" si="1"/>
        <v>-9.987990000000003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48.71201</v>
      </c>
      <c r="E7" s="12">
        <f t="shared" si="0"/>
        <v>82.98468483816012</v>
      </c>
      <c r="F7" s="12">
        <f t="shared" si="1"/>
        <v>-9.987990000000003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8.34903</v>
      </c>
      <c r="E8" s="12">
        <f t="shared" si="0"/>
        <v>139.15050000000002</v>
      </c>
      <c r="F8" s="12">
        <f t="shared" si="1"/>
        <v>2.349030000000001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8.34903</v>
      </c>
      <c r="E9" s="12">
        <f t="shared" si="0"/>
        <v>139.15050000000002</v>
      </c>
      <c r="F9" s="12">
        <f t="shared" si="1"/>
        <v>2.349030000000001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134.78799</v>
      </c>
      <c r="E10" s="12">
        <f t="shared" si="0"/>
        <v>73.77558292282431</v>
      </c>
      <c r="F10" s="12">
        <f t="shared" si="1"/>
        <v>-47.91200999999998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125.89991</v>
      </c>
      <c r="E11" s="12">
        <f t="shared" si="0"/>
        <v>76.76823780487805</v>
      </c>
      <c r="F11" s="12">
        <f t="shared" si="1"/>
        <v>-38.100089999999994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8.88808</v>
      </c>
      <c r="E12" s="12">
        <f t="shared" si="0"/>
        <v>47.529839572192515</v>
      </c>
      <c r="F12" s="12">
        <f t="shared" si="1"/>
        <v>-9.811919999999999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7.55</v>
      </c>
      <c r="E15" s="12">
        <f t="shared" si="0"/>
        <v>243.5483870967742</v>
      </c>
      <c r="F15" s="12">
        <f t="shared" si="1"/>
        <v>4.449999999999999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7.55</v>
      </c>
      <c r="E17" s="12">
        <f t="shared" si="0"/>
        <v>243.5483870967742</v>
      </c>
      <c r="F17" s="12">
        <f t="shared" si="1"/>
        <v>4.449999999999999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43.79095</v>
      </c>
      <c r="E20" s="12">
        <f t="shared" si="0"/>
        <v>61.67739436619719</v>
      </c>
      <c r="F20" s="12">
        <f t="shared" si="1"/>
        <v>-27.209049999999998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20.04585</v>
      </c>
      <c r="E21" s="12">
        <f t="shared" si="0"/>
        <v>117.91676470588237</v>
      </c>
      <c r="F21" s="12">
        <f t="shared" si="1"/>
        <v>3.0458500000000015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23.7451</v>
      </c>
      <c r="E22" s="12">
        <f t="shared" si="0"/>
        <v>103.2395652173913</v>
      </c>
      <c r="F22" s="12">
        <f t="shared" si="1"/>
        <v>0.7451000000000008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243.18998000000002</v>
      </c>
      <c r="E38" s="12">
        <f aca="true" t="shared" si="2" ref="E38:E47">D38/C38*100</f>
        <v>75.64229548989114</v>
      </c>
      <c r="F38" s="12">
        <f aca="true" t="shared" si="3" ref="F38:F47">D38-C38</f>
        <v>-78.31001999999998</v>
      </c>
      <c r="G38" s="1"/>
    </row>
    <row r="39" spans="1:7" s="9" customFormat="1" ht="15.75">
      <c r="A39" s="10"/>
      <c r="B39" s="10" t="s">
        <v>39</v>
      </c>
      <c r="C39" s="11">
        <f>SUM(C40:C44)</f>
        <v>1585.954</v>
      </c>
      <c r="D39" s="11">
        <f>SUM(D40:D44)</f>
        <v>1276.156</v>
      </c>
      <c r="E39" s="12">
        <f t="shared" si="2"/>
        <v>80.46614214535856</v>
      </c>
      <c r="F39" s="12">
        <f t="shared" si="3"/>
        <v>-309.798</v>
      </c>
      <c r="G39" s="1"/>
    </row>
    <row r="40" spans="1:8" s="9" customFormat="1" ht="15.75">
      <c r="A40" s="13">
        <v>2020100000</v>
      </c>
      <c r="B40" s="13" t="s">
        <v>40</v>
      </c>
      <c r="C40" s="12">
        <v>1353.2</v>
      </c>
      <c r="D40" s="12">
        <v>1105.81</v>
      </c>
      <c r="E40" s="12">
        <f t="shared" si="2"/>
        <v>81.71814957138633</v>
      </c>
      <c r="F40" s="12">
        <f t="shared" si="3"/>
        <v>-247.3900000000001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41.7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74.01</v>
      </c>
      <c r="E42" s="12">
        <f t="shared" si="2"/>
        <v>57.77517564402811</v>
      </c>
      <c r="F42" s="12">
        <f t="shared" si="3"/>
        <v>-54.08999999999999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54.654</v>
      </c>
      <c r="D43" s="12">
        <v>54.636</v>
      </c>
      <c r="E43" s="12">
        <f t="shared" si="2"/>
        <v>99.96706553957624</v>
      </c>
      <c r="F43" s="12">
        <f t="shared" si="3"/>
        <v>-0.018000000000000682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1907.454</v>
      </c>
      <c r="D46" s="11">
        <f>SUM(D39,D38)</f>
        <v>1519.34598</v>
      </c>
      <c r="E46" s="12">
        <f t="shared" si="2"/>
        <v>79.65308626053368</v>
      </c>
      <c r="F46" s="12">
        <f t="shared" si="3"/>
        <v>-388.1080199999999</v>
      </c>
      <c r="G46" s="1"/>
    </row>
    <row r="47" spans="1:7" s="9" customFormat="1" ht="15.75">
      <c r="A47" s="10"/>
      <c r="B47" s="22" t="s">
        <v>47</v>
      </c>
      <c r="C47" s="11">
        <f>C103-C46</f>
        <v>200.00000000000023</v>
      </c>
      <c r="D47" s="11">
        <f>D103-D46</f>
        <v>-231.56659999999988</v>
      </c>
      <c r="E47" s="12">
        <f t="shared" si="2"/>
        <v>-115.78329999999981</v>
      </c>
      <c r="F47" s="12">
        <f t="shared" si="3"/>
        <v>-431.5666000000001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670.76275</v>
      </c>
      <c r="D52" s="39">
        <f>SUM(D53:D55)</f>
        <v>477.46044</v>
      </c>
      <c r="E52" s="12">
        <f>D52/C52*100</f>
        <v>71.18171663527826</v>
      </c>
      <c r="F52" s="12">
        <f>D52-C52</f>
        <v>-193.30230999999998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662.164</v>
      </c>
      <c r="D53" s="18">
        <v>477.46044</v>
      </c>
      <c r="E53" s="12">
        <f>D53/C53*100</f>
        <v>72.10607039947807</v>
      </c>
      <c r="F53" s="12">
        <f>D53-C53</f>
        <v>-184.70355999999998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28.98713</v>
      </c>
      <c r="E56" s="12">
        <f>D56/C56*100</f>
        <v>53.099706906026746</v>
      </c>
      <c r="F56" s="12">
        <f aca="true" t="shared" si="4" ref="F56:F103">D56-C56</f>
        <v>-25.602870000000003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28.98713</v>
      </c>
      <c r="E57" s="12">
        <f>D57/C57*100</f>
        <v>53.099706906026746</v>
      </c>
      <c r="F57" s="12">
        <f t="shared" si="4"/>
        <v>-25.602870000000003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70.90125</v>
      </c>
      <c r="D58" s="44">
        <f>D60+D61</f>
        <v>2.90107</v>
      </c>
      <c r="E58" s="12">
        <f>D58/C58*100</f>
        <v>4.091705012252957</v>
      </c>
      <c r="F58" s="12">
        <f t="shared" si="4"/>
        <v>-68.00018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272</v>
      </c>
      <c r="C60" s="49">
        <v>1.40125</v>
      </c>
      <c r="D60" s="49">
        <v>1.40125</v>
      </c>
      <c r="E60" s="12">
        <v>0</v>
      </c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69.5</v>
      </c>
      <c r="D61" s="49">
        <v>1.49982</v>
      </c>
      <c r="E61" s="12">
        <f aca="true" t="shared" si="5" ref="E61:E66">D61/C61*100</f>
        <v>2.1580143884892085</v>
      </c>
      <c r="F61" s="12">
        <f t="shared" si="4"/>
        <v>-68.00018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48</v>
      </c>
      <c r="D62" s="39">
        <f>D63+D64+D65</f>
        <v>0</v>
      </c>
      <c r="E62" s="12">
        <f t="shared" si="5"/>
        <v>0</v>
      </c>
      <c r="F62" s="12">
        <f t="shared" si="4"/>
        <v>-48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48</v>
      </c>
      <c r="D65" s="18">
        <v>0</v>
      </c>
      <c r="E65" s="12">
        <f t="shared" si="5"/>
        <v>0</v>
      </c>
      <c r="F65" s="12">
        <f t="shared" si="4"/>
        <v>-48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567.1</v>
      </c>
      <c r="D66" s="39">
        <f>D68+D69</f>
        <v>305.38179</v>
      </c>
      <c r="E66" s="12">
        <f t="shared" si="5"/>
        <v>53.849724916240525</v>
      </c>
      <c r="F66" s="12">
        <f t="shared" si="4"/>
        <v>-261.71821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567.1</v>
      </c>
      <c r="D69" s="18">
        <v>305.38179</v>
      </c>
      <c r="E69" s="12">
        <f>D69/C69*100</f>
        <v>53.849724916240525</v>
      </c>
      <c r="F69" s="12">
        <f t="shared" si="4"/>
        <v>-261.71821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689.3</v>
      </c>
      <c r="D77" s="39">
        <f>SUM(D78:D78)</f>
        <v>469.84895</v>
      </c>
      <c r="E77" s="12">
        <f t="shared" si="6"/>
        <v>68.16320179892645</v>
      </c>
      <c r="F77" s="12">
        <f t="shared" si="4"/>
        <v>-219.45104999999995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689.3</v>
      </c>
      <c r="D78" s="18">
        <v>469.84895</v>
      </c>
      <c r="E78" s="12">
        <f t="shared" si="6"/>
        <v>68.16320179892645</v>
      </c>
      <c r="F78" s="12">
        <f t="shared" si="4"/>
        <v>-219.45104999999995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6.8</v>
      </c>
      <c r="D89" s="39">
        <f>D90+D91+D92+D93+D94</f>
        <v>3.2</v>
      </c>
      <c r="E89" s="11">
        <f>D89/C89*100</f>
        <v>47.05882352941177</v>
      </c>
      <c r="F89" s="12">
        <f t="shared" si="4"/>
        <v>-3.5999999999999996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6.8</v>
      </c>
      <c r="D90" s="18">
        <v>3.2</v>
      </c>
      <c r="E90" s="11">
        <f aca="true" t="shared" si="7" ref="E90:E98">D90/C90*100</f>
        <v>47.05882352941177</v>
      </c>
      <c r="F90" s="12">
        <f>D90-C90</f>
        <v>-3.5999999999999996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291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2107.454</v>
      </c>
      <c r="D103" s="39">
        <f>SUM(D52,D56,D58,D62,D66,D70,D72,D77,D79,D85,D89,D99)</f>
        <v>1287.7793800000002</v>
      </c>
      <c r="E103" s="12">
        <f t="shared" si="6"/>
        <v>61.10593066325528</v>
      </c>
      <c r="F103" s="12">
        <f t="shared" si="4"/>
        <v>-819.67462</v>
      </c>
    </row>
    <row r="104" spans="1:6" s="9" customFormat="1" ht="15.75">
      <c r="A104" s="28"/>
      <c r="B104" s="29"/>
      <c r="C104" s="31"/>
      <c r="D104" s="30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7">
      <selection activeCell="E108" sqref="E108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326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368.16539</v>
      </c>
      <c r="E5" s="12">
        <f aca="true" t="shared" si="0" ref="E5:E35">D5/C5*100</f>
        <v>73.51545327476038</v>
      </c>
      <c r="F5" s="12">
        <f aca="true" t="shared" si="1" ref="F5:F36">D5-C5</f>
        <v>-132.63461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204.20678</v>
      </c>
      <c r="E6" s="12">
        <f t="shared" si="0"/>
        <v>102.05236381809095</v>
      </c>
      <c r="F6" s="12">
        <f t="shared" si="1"/>
        <v>4.106780000000015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204.20678</v>
      </c>
      <c r="E7" s="12">
        <f t="shared" si="0"/>
        <v>102.05236381809095</v>
      </c>
      <c r="F7" s="12">
        <f t="shared" si="1"/>
        <v>4.106780000000015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0.14541</v>
      </c>
      <c r="E8" s="12">
        <f t="shared" si="0"/>
        <v>14.541</v>
      </c>
      <c r="F8" s="12">
        <f t="shared" si="1"/>
        <v>-0.85459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0.14541</v>
      </c>
      <c r="E9" s="12">
        <f t="shared" si="0"/>
        <v>14.541</v>
      </c>
      <c r="F9" s="12">
        <f t="shared" si="1"/>
        <v>-0.85459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154.9932</v>
      </c>
      <c r="E10" s="12">
        <f t="shared" si="0"/>
        <v>53.53823834196891</v>
      </c>
      <c r="F10" s="12">
        <f t="shared" si="1"/>
        <v>-134.5068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144.76226</v>
      </c>
      <c r="E11" s="12">
        <f t="shared" si="0"/>
        <v>53.02646886446887</v>
      </c>
      <c r="F11" s="12">
        <f t="shared" si="1"/>
        <v>-128.23774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10.23094</v>
      </c>
      <c r="E12" s="12">
        <f t="shared" si="0"/>
        <v>62.00569696969698</v>
      </c>
      <c r="F12" s="12">
        <f t="shared" si="1"/>
        <v>-6.26906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8.82</v>
      </c>
      <c r="E15" s="12">
        <f t="shared" si="0"/>
        <v>86.47058823529412</v>
      </c>
      <c r="F15" s="12">
        <f t="shared" si="1"/>
        <v>-1.379999999999999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8.82</v>
      </c>
      <c r="E17" s="12">
        <f t="shared" si="0"/>
        <v>86.47058823529412</v>
      </c>
      <c r="F17" s="12">
        <f t="shared" si="1"/>
        <v>-1.379999999999999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459.42429</v>
      </c>
      <c r="E20" s="12">
        <f t="shared" si="0"/>
        <v>160.63786363636362</v>
      </c>
      <c r="F20" s="12">
        <f t="shared" si="1"/>
        <v>173.42428999999998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424.75174</v>
      </c>
      <c r="E21" s="12">
        <f t="shared" si="0"/>
        <v>235.97318888888887</v>
      </c>
      <c r="F21" s="12">
        <f t="shared" si="1"/>
        <v>244.75173999999998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18.22276</v>
      </c>
      <c r="E22" s="12">
        <f t="shared" si="0"/>
        <v>72.89104</v>
      </c>
      <c r="F22" s="12">
        <f t="shared" si="1"/>
        <v>-6.777239999999999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15.94979</v>
      </c>
      <c r="E25" s="12">
        <f t="shared" si="0"/>
        <v>19.9372375</v>
      </c>
      <c r="F25" s="12">
        <f t="shared" si="1"/>
        <v>-64.05020999999999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13.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-9.5</v>
      </c>
      <c r="E36" s="12"/>
      <c r="F36" s="12">
        <f t="shared" si="1"/>
        <v>-9.5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827.58968</v>
      </c>
      <c r="E38" s="12">
        <f aca="true" t="shared" si="2" ref="E38:E46">D38/C38*100</f>
        <v>105.18425012709712</v>
      </c>
      <c r="F38" s="12">
        <f aca="true" t="shared" si="3" ref="F38:F47">D38-C38</f>
        <v>40.78968000000009</v>
      </c>
      <c r="G38" s="1"/>
    </row>
    <row r="39" spans="1:7" s="9" customFormat="1" ht="15.75">
      <c r="A39" s="10"/>
      <c r="B39" s="10" t="s">
        <v>39</v>
      </c>
      <c r="C39" s="11">
        <f>SUM(C40:C44)</f>
        <v>2565.558</v>
      </c>
      <c r="D39" s="11">
        <f>SUM(D40:D44)</f>
        <v>1952.6650000000002</v>
      </c>
      <c r="E39" s="12">
        <f t="shared" si="2"/>
        <v>76.11073302571995</v>
      </c>
      <c r="F39" s="12">
        <f t="shared" si="3"/>
        <v>-612.8929999999998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1869.4</v>
      </c>
      <c r="D40" s="12">
        <v>1524.45</v>
      </c>
      <c r="E40" s="12">
        <f t="shared" si="2"/>
        <v>81.54755536535787</v>
      </c>
      <c r="F40" s="12">
        <f t="shared" si="3"/>
        <v>-344.95000000000005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582.486</v>
      </c>
      <c r="D42" s="12">
        <v>314.571</v>
      </c>
      <c r="E42" s="12">
        <f t="shared" si="2"/>
        <v>54.004903122135126</v>
      </c>
      <c r="F42" s="12">
        <f t="shared" si="3"/>
        <v>-267.91499999999996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113.672</v>
      </c>
      <c r="D43" s="12">
        <v>113.644</v>
      </c>
      <c r="E43" s="12">
        <f t="shared" si="2"/>
        <v>99.97536772468155</v>
      </c>
      <c r="F43" s="12">
        <f t="shared" si="3"/>
        <v>-0.027999999999991587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3352.358</v>
      </c>
      <c r="D46" s="11">
        <f>SUM(D39,D38)</f>
        <v>2780.25468</v>
      </c>
      <c r="E46" s="12">
        <f t="shared" si="2"/>
        <v>82.93430116950516</v>
      </c>
      <c r="F46" s="12">
        <f t="shared" si="3"/>
        <v>-572.1033200000002</v>
      </c>
      <c r="G46" s="1"/>
    </row>
    <row r="47" spans="1:7" s="9" customFormat="1" ht="15.75">
      <c r="A47" s="10"/>
      <c r="B47" s="22" t="s">
        <v>47</v>
      </c>
      <c r="C47" s="11">
        <f>C103-C46</f>
        <v>404</v>
      </c>
      <c r="D47" s="11">
        <f>D103-D46</f>
        <v>-688.18397</v>
      </c>
      <c r="E47" s="12"/>
      <c r="F47" s="12">
        <f t="shared" si="3"/>
        <v>-1092.18397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746.902</v>
      </c>
      <c r="D52" s="39">
        <f>SUM(D53:D55)</f>
        <v>519.0715</v>
      </c>
      <c r="E52" s="12">
        <f>D52/C52*100</f>
        <v>69.49660062498158</v>
      </c>
      <c r="F52" s="12">
        <f>D52-C52</f>
        <v>-227.83050000000003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726.902</v>
      </c>
      <c r="D53" s="18">
        <v>519.0715</v>
      </c>
      <c r="E53" s="12">
        <f>D53/C53*100</f>
        <v>71.40873185106108</v>
      </c>
      <c r="F53" s="12">
        <f>D53-C53</f>
        <v>-207.83050000000003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88.78705</v>
      </c>
      <c r="E56" s="12">
        <f>D56/C56*100</f>
        <v>78.17826010390067</v>
      </c>
      <c r="F56" s="12">
        <f aca="true" t="shared" si="4" ref="F56:F103">D56-C56</f>
        <v>-24.78295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88.78705</v>
      </c>
      <c r="E57" s="12">
        <f>D57/C57*100</f>
        <v>78.17826010390067</v>
      </c>
      <c r="F57" s="12">
        <f t="shared" si="4"/>
        <v>-24.78295</v>
      </c>
    </row>
    <row r="58" spans="1:7" s="46" customFormat="1" ht="14.25" customHeight="1">
      <c r="A58" s="42" t="s">
        <v>60</v>
      </c>
      <c r="B58" s="43" t="s">
        <v>61</v>
      </c>
      <c r="C58" s="44">
        <f>C61</f>
        <v>17.7</v>
      </c>
      <c r="D58" s="44">
        <f>SUM(D59:D61)</f>
        <v>12.01</v>
      </c>
      <c r="E58" s="12">
        <f>D58/C58*100</f>
        <v>67.85310734463278</v>
      </c>
      <c r="F58" s="12">
        <f t="shared" si="4"/>
        <v>-5.6899999999999995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162</v>
      </c>
      <c r="B60" s="48" t="s">
        <v>272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64</v>
      </c>
      <c r="B61" s="48" t="s">
        <v>65</v>
      </c>
      <c r="C61" s="49">
        <v>17.7</v>
      </c>
      <c r="D61" s="49">
        <v>12.01</v>
      </c>
      <c r="E61" s="12">
        <f aca="true" t="shared" si="5" ref="E61:E66">D61/C61*100</f>
        <v>67.85310734463278</v>
      </c>
      <c r="F61" s="12">
        <f t="shared" si="4"/>
        <v>-5.6899999999999995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423.8</v>
      </c>
      <c r="D62" s="39">
        <f>D63+D64+D65</f>
        <v>215.46548</v>
      </c>
      <c r="E62" s="12">
        <f t="shared" si="5"/>
        <v>50.84131193959415</v>
      </c>
      <c r="F62" s="12">
        <f t="shared" si="4"/>
        <v>-208.33452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354</v>
      </c>
      <c r="D64" s="18">
        <v>189.846</v>
      </c>
      <c r="E64" s="12">
        <f t="shared" si="5"/>
        <v>53.62881355932203</v>
      </c>
      <c r="F64" s="12">
        <f t="shared" si="4"/>
        <v>-164.154</v>
      </c>
      <c r="G64" s="31"/>
    </row>
    <row r="65" spans="1:7" s="9" customFormat="1" ht="15.75" customHeight="1">
      <c r="A65" s="47" t="s">
        <v>72</v>
      </c>
      <c r="B65" s="48" t="s">
        <v>73</v>
      </c>
      <c r="C65" s="18">
        <v>69.8</v>
      </c>
      <c r="D65" s="18">
        <v>25.61948</v>
      </c>
      <c r="E65" s="12"/>
      <c r="F65" s="12">
        <f t="shared" si="4"/>
        <v>-44.18052</v>
      </c>
      <c r="G65" s="31"/>
    </row>
    <row r="66" spans="1:7" s="9" customFormat="1" ht="15.75" customHeight="1">
      <c r="A66" s="37" t="s">
        <v>74</v>
      </c>
      <c r="B66" s="38" t="s">
        <v>75</v>
      </c>
      <c r="C66" s="39">
        <f>C67+C69</f>
        <v>970.5</v>
      </c>
      <c r="D66" s="39">
        <f>D67+D69</f>
        <v>539.3924</v>
      </c>
      <c r="E66" s="12">
        <f t="shared" si="5"/>
        <v>55.57881504379185</v>
      </c>
      <c r="F66" s="12">
        <f t="shared" si="4"/>
        <v>-431.10760000000005</v>
      </c>
      <c r="G66" s="31"/>
    </row>
    <row r="67" spans="1:7" s="9" customFormat="1" ht="14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4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970.5</v>
      </c>
      <c r="D69" s="18">
        <v>539.3924</v>
      </c>
      <c r="E69" s="12">
        <f>D69/C69*100</f>
        <v>55.57881504379185</v>
      </c>
      <c r="F69" s="12">
        <f t="shared" si="4"/>
        <v>-431.10760000000005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932.8</v>
      </c>
      <c r="D77" s="39">
        <f>D78</f>
        <v>597.56928</v>
      </c>
      <c r="E77" s="12">
        <f t="shared" si="6"/>
        <v>64.06188679245284</v>
      </c>
      <c r="F77" s="12">
        <f t="shared" si="4"/>
        <v>-335.2307199999999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932.8</v>
      </c>
      <c r="D78" s="18">
        <v>597.56928</v>
      </c>
      <c r="E78" s="12">
        <f t="shared" si="6"/>
        <v>64.06188679245284</v>
      </c>
      <c r="F78" s="12">
        <f t="shared" si="4"/>
        <v>-335.2307199999999</v>
      </c>
      <c r="G78" s="31"/>
    </row>
    <row r="79" spans="1:7" s="9" customFormat="1" ht="17.25" customHeight="1" hidden="1">
      <c r="A79" s="37" t="s">
        <v>100</v>
      </c>
      <c r="B79" s="38" t="s">
        <v>265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4.25" customHeight="1">
      <c r="A85" s="57">
        <v>1000</v>
      </c>
      <c r="B85" s="58" t="s">
        <v>112</v>
      </c>
      <c r="C85" s="39">
        <f>SUM(C86:C88)</f>
        <v>380.586</v>
      </c>
      <c r="D85" s="39">
        <f>SUM(D86:D88)</f>
        <v>0</v>
      </c>
      <c r="E85" s="11">
        <f t="shared" si="6"/>
        <v>0</v>
      </c>
      <c r="F85" s="12">
        <f t="shared" si="4"/>
        <v>-380.586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380.586</v>
      </c>
      <c r="D86" s="18">
        <v>0</v>
      </c>
      <c r="E86" s="12">
        <f t="shared" si="6"/>
        <v>0</v>
      </c>
      <c r="F86" s="12">
        <f t="shared" si="4"/>
        <v>-380.586</v>
      </c>
      <c r="G86" s="31"/>
    </row>
    <row r="87" spans="1:7" s="9" customFormat="1" ht="14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159.7</v>
      </c>
      <c r="D99" s="39">
        <f>D100</f>
        <v>119.775</v>
      </c>
      <c r="E99" s="11"/>
      <c r="F99" s="12">
        <f t="shared" si="8"/>
        <v>-39.92499999999998</v>
      </c>
    </row>
    <row r="100" spans="1:6" s="9" customFormat="1" ht="15.75" customHeight="1">
      <c r="A100" s="59">
        <v>1403</v>
      </c>
      <c r="B100" s="60" t="s">
        <v>291</v>
      </c>
      <c r="C100" s="18">
        <v>159.7</v>
      </c>
      <c r="D100" s="18">
        <v>119.775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3756.358</v>
      </c>
      <c r="D103" s="39">
        <f>SUM(D52,D56,D58,D62,D66,D70,D72,D77,D79,D85,D99)</f>
        <v>2092.07071</v>
      </c>
      <c r="E103" s="12">
        <f t="shared" si="6"/>
        <v>55.69412473464988</v>
      </c>
      <c r="F103" s="12">
        <f t="shared" si="4"/>
        <v>-1664.2872900000002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1">
      <selection activeCell="D103" sqref="D103"/>
    </sheetView>
  </sheetViews>
  <sheetFormatPr defaultColWidth="9.140625" defaultRowHeight="12.75"/>
  <cols>
    <col min="1" max="1" width="17.281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327</v>
      </c>
      <c r="B1" s="281"/>
      <c r="C1" s="281"/>
      <c r="D1" s="281"/>
      <c r="E1" s="281"/>
      <c r="F1" s="281"/>
      <c r="G1" s="1"/>
    </row>
    <row r="2" spans="1:7" ht="20.25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452.7668499999999</v>
      </c>
      <c r="E5" s="12">
        <f aca="true" t="shared" si="0" ref="E5:E35">D5/C5*100</f>
        <v>56.56050593379137</v>
      </c>
      <c r="F5" s="12">
        <f aca="true" t="shared" si="1" ref="F5:F36">D5-C5</f>
        <v>-347.7331500000001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185.96131</v>
      </c>
      <c r="E6" s="12">
        <f t="shared" si="0"/>
        <v>47.342492362525455</v>
      </c>
      <c r="F6" s="12">
        <f t="shared" si="1"/>
        <v>-206.83869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185.96131</v>
      </c>
      <c r="E7" s="12">
        <f t="shared" si="0"/>
        <v>47.342492362525455</v>
      </c>
      <c r="F7" s="12">
        <f t="shared" si="1"/>
        <v>-206.83869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1.42555</v>
      </c>
      <c r="E8" s="12">
        <f t="shared" si="0"/>
        <v>7.127750000000001</v>
      </c>
      <c r="F8" s="12">
        <f t="shared" si="1"/>
        <v>-18.57445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1.42555</v>
      </c>
      <c r="E9" s="12">
        <f t="shared" si="0"/>
        <v>7.127750000000001</v>
      </c>
      <c r="F9" s="12">
        <f t="shared" si="1"/>
        <v>-18.57445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254.79498999999998</v>
      </c>
      <c r="E10" s="12">
        <f t="shared" si="0"/>
        <v>68.45647232670608</v>
      </c>
      <c r="F10" s="12">
        <f t="shared" si="1"/>
        <v>-117.40501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241.30522</v>
      </c>
      <c r="E11" s="12">
        <f t="shared" si="0"/>
        <v>71.30768912529551</v>
      </c>
      <c r="F11" s="12">
        <f t="shared" si="1"/>
        <v>-97.09477999999999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13.48977</v>
      </c>
      <c r="E12" s="12">
        <f t="shared" si="0"/>
        <v>39.91056213017752</v>
      </c>
      <c r="F12" s="12">
        <f t="shared" si="1"/>
        <v>-20.310229999999997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10.585</v>
      </c>
      <c r="E15" s="12">
        <f t="shared" si="0"/>
        <v>68.29032258064517</v>
      </c>
      <c r="F15" s="12">
        <f t="shared" si="1"/>
        <v>-4.914999999999999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10.585</v>
      </c>
      <c r="E17" s="12">
        <f t="shared" si="0"/>
        <v>68.29032258064517</v>
      </c>
      <c r="F17" s="12">
        <f t="shared" si="1"/>
        <v>-4.914999999999999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80.58443</v>
      </c>
      <c r="E20" s="12">
        <f t="shared" si="0"/>
        <v>100.73053750000001</v>
      </c>
      <c r="F20" s="12">
        <f t="shared" si="1"/>
        <v>0.5844299999999976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29.53441</v>
      </c>
      <c r="E21" s="12">
        <f t="shared" si="0"/>
        <v>86.86591176470588</v>
      </c>
      <c r="F21" s="12">
        <f t="shared" si="1"/>
        <v>-4.465589999999999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35.84602</v>
      </c>
      <c r="E22" s="12">
        <f t="shared" si="0"/>
        <v>238.9734666666667</v>
      </c>
      <c r="F22" s="12">
        <f t="shared" si="1"/>
        <v>20.846020000000003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1.5" customHeight="1">
      <c r="A35" s="13">
        <v>1169000000</v>
      </c>
      <c r="B35" s="14" t="s">
        <v>35</v>
      </c>
      <c r="C35" s="12">
        <v>0</v>
      </c>
      <c r="D35" s="12">
        <v>15.204</v>
      </c>
      <c r="E35" s="12" t="e">
        <f t="shared" si="0"/>
        <v>#DIV/0!</v>
      </c>
      <c r="F35" s="12">
        <f t="shared" si="1"/>
        <v>15.204</v>
      </c>
      <c r="G35" s="1"/>
    </row>
    <row r="36" spans="1:7" s="9" customFormat="1" ht="12.7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2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533.3512799999999</v>
      </c>
      <c r="E38" s="12">
        <f aca="true" t="shared" si="2" ref="E38:E47">D38/C38*100</f>
        <v>60.57368313458261</v>
      </c>
      <c r="F38" s="12">
        <f aca="true" t="shared" si="3" ref="F38:F47">D38-C38</f>
        <v>-347.14872000000014</v>
      </c>
      <c r="G38" s="1"/>
    </row>
    <row r="39" spans="1:7" s="9" customFormat="1" ht="15.75">
      <c r="A39" s="10"/>
      <c r="B39" s="10" t="s">
        <v>39</v>
      </c>
      <c r="C39" s="11">
        <f>SUM(C40:C44)</f>
        <v>2935.085</v>
      </c>
      <c r="D39" s="11">
        <f>SUM(D40:D44)</f>
        <v>2373.462</v>
      </c>
      <c r="E39" s="12">
        <f t="shared" si="2"/>
        <v>80.8651878906403</v>
      </c>
      <c r="F39" s="12">
        <f t="shared" si="3"/>
        <v>-561.623</v>
      </c>
      <c r="G39" s="1"/>
    </row>
    <row r="40" spans="1:8" s="9" customFormat="1" ht="15.75">
      <c r="A40" s="13">
        <v>2020100000</v>
      </c>
      <c r="B40" s="13" t="s">
        <v>40</v>
      </c>
      <c r="C40" s="12">
        <v>2140.9</v>
      </c>
      <c r="D40" s="12">
        <v>1745.63</v>
      </c>
      <c r="E40" s="12">
        <f t="shared" si="2"/>
        <v>81.53720397963473</v>
      </c>
      <c r="F40" s="12">
        <f t="shared" si="3"/>
        <v>-395.27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449.4</v>
      </c>
      <c r="D41" s="12">
        <v>374.6</v>
      </c>
      <c r="E41" s="12">
        <f t="shared" si="2"/>
        <v>83.35558522474412</v>
      </c>
      <c r="F41" s="12">
        <f t="shared" si="3"/>
        <v>-74.79999999999995</v>
      </c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139.578</v>
      </c>
      <c r="E42" s="12">
        <f t="shared" si="2"/>
        <v>60.397230636088274</v>
      </c>
      <c r="F42" s="12">
        <f t="shared" si="3"/>
        <v>-91.52199999999999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113.685</v>
      </c>
      <c r="D43" s="12">
        <v>113.654</v>
      </c>
      <c r="E43" s="12">
        <f t="shared" si="2"/>
        <v>99.97273167084487</v>
      </c>
      <c r="F43" s="12">
        <f t="shared" si="3"/>
        <v>-0.03100000000000591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3815.585</v>
      </c>
      <c r="D46" s="11">
        <f>SUM(D39,D38)</f>
        <v>2906.81328</v>
      </c>
      <c r="E46" s="12">
        <f t="shared" si="2"/>
        <v>76.18263726270021</v>
      </c>
      <c r="F46" s="12">
        <f t="shared" si="3"/>
        <v>-908.7717200000002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-286.7036599999997</v>
      </c>
      <c r="E47" s="12" t="e">
        <f t="shared" si="2"/>
        <v>#DIV/0!</v>
      </c>
      <c r="F47" s="12">
        <f t="shared" si="3"/>
        <v>-286.7036599999997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708.31375</v>
      </c>
      <c r="D52" s="39">
        <f>SUM(D53:D55)</f>
        <v>527.68677</v>
      </c>
      <c r="E52" s="12">
        <f aca="true" t="shared" si="4" ref="E52:E58">D52/C52*100</f>
        <v>74.49901544336814</v>
      </c>
      <c r="F52" s="12">
        <f>D52-C52</f>
        <v>-180.62698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699.715</v>
      </c>
      <c r="D53" s="18">
        <v>527.68677</v>
      </c>
      <c r="E53" s="12">
        <f t="shared" si="4"/>
        <v>75.41452877242878</v>
      </c>
      <c r="F53" s="12">
        <f>D53-C53</f>
        <v>-172.02823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74.53051</v>
      </c>
      <c r="E56" s="12">
        <f t="shared" si="4"/>
        <v>65.62517390155853</v>
      </c>
      <c r="F56" s="12">
        <f aca="true" t="shared" si="5" ref="F56:F103">D56-C56</f>
        <v>-39.03948999999999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74.53051</v>
      </c>
      <c r="E57" s="12">
        <f t="shared" si="4"/>
        <v>65.62517390155853</v>
      </c>
      <c r="F57" s="12">
        <f t="shared" si="5"/>
        <v>-39.03948999999999</v>
      </c>
    </row>
    <row r="58" spans="1:7" s="46" customFormat="1" ht="15" customHeight="1">
      <c r="A58" s="42" t="s">
        <v>60</v>
      </c>
      <c r="B58" s="43" t="s">
        <v>61</v>
      </c>
      <c r="C58" s="44">
        <f>C61+C60</f>
        <v>71.40125</v>
      </c>
      <c r="D58" s="44">
        <f>D61+D60</f>
        <v>42.40125</v>
      </c>
      <c r="E58" s="12">
        <f t="shared" si="4"/>
        <v>59.384464557693306</v>
      </c>
      <c r="F58" s="12">
        <f t="shared" si="5"/>
        <v>-29.000000000000007</v>
      </c>
      <c r="G58" s="45"/>
    </row>
    <row r="59" spans="1:7" s="46" customFormat="1" ht="18" customHeight="1" hidden="1">
      <c r="A59" s="47" t="s">
        <v>62</v>
      </c>
      <c r="B59" s="48" t="s">
        <v>63</v>
      </c>
      <c r="C59" s="49">
        <v>0</v>
      </c>
      <c r="D59" s="44">
        <f>D62+D61</f>
        <v>0.30521</v>
      </c>
      <c r="E59" s="12"/>
      <c r="F59" s="12">
        <f t="shared" si="5"/>
        <v>0.30521</v>
      </c>
      <c r="G59" s="45"/>
    </row>
    <row r="60" spans="1:7" s="46" customFormat="1" ht="30" customHeight="1">
      <c r="A60" s="47" t="s">
        <v>162</v>
      </c>
      <c r="B60" s="48" t="s">
        <v>272</v>
      </c>
      <c r="C60" s="49">
        <v>71.40125</v>
      </c>
      <c r="D60" s="49">
        <v>42.40125</v>
      </c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>D61-C61</f>
        <v>0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50</v>
      </c>
      <c r="D62" s="39">
        <f>D63+D64+D65</f>
        <v>0.30521</v>
      </c>
      <c r="E62" s="12">
        <f>D62/C62*100</f>
        <v>0.61042</v>
      </c>
      <c r="F62" s="12">
        <f t="shared" si="5"/>
        <v>-49.69479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.75" customHeight="1" hidden="1">
      <c r="A64" s="40" t="s">
        <v>70</v>
      </c>
      <c r="B64" s="50" t="s">
        <v>71</v>
      </c>
      <c r="C64" s="18">
        <v>0</v>
      </c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50</v>
      </c>
      <c r="D65" s="18">
        <v>0.30521</v>
      </c>
      <c r="E65" s="12">
        <f>D65/C65*100</f>
        <v>0.61042</v>
      </c>
      <c r="F65" s="12">
        <f t="shared" si="5"/>
        <v>-49.69479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711.1</v>
      </c>
      <c r="D66" s="39">
        <f>D68+D69</f>
        <v>479.07036</v>
      </c>
      <c r="E66" s="12">
        <f>D66/C66*100</f>
        <v>67.37032203628182</v>
      </c>
      <c r="F66" s="12">
        <f t="shared" si="5"/>
        <v>-232.02964000000003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711.1</v>
      </c>
      <c r="D69" s="18">
        <v>479.07036</v>
      </c>
      <c r="E69" s="12">
        <f>D69/C69*100</f>
        <v>67.37032203628182</v>
      </c>
      <c r="F69" s="12">
        <f t="shared" si="5"/>
        <v>-232.02964000000003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2023</v>
      </c>
      <c r="D77" s="39">
        <f>SUM(D78:D78)</f>
        <v>1401.52852</v>
      </c>
      <c r="E77" s="12">
        <f t="shared" si="6"/>
        <v>69.27970934256055</v>
      </c>
      <c r="F77" s="12">
        <f t="shared" si="5"/>
        <v>-621.4714799999999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2023</v>
      </c>
      <c r="D78" s="18">
        <v>1401.52852</v>
      </c>
      <c r="E78" s="12">
        <f t="shared" si="6"/>
        <v>69.27970934256055</v>
      </c>
      <c r="F78" s="12">
        <f t="shared" si="5"/>
        <v>-621.4714799999999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5.5</v>
      </c>
      <c r="D89" s="39">
        <f>D90+D91+D92+D93+D94</f>
        <v>3.237</v>
      </c>
      <c r="E89" s="11">
        <f>D89/C89*100</f>
        <v>58.85454545454546</v>
      </c>
      <c r="F89" s="12">
        <f t="shared" si="5"/>
        <v>-2.263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5.5</v>
      </c>
      <c r="D90" s="18">
        <v>3.237</v>
      </c>
      <c r="E90" s="11">
        <f aca="true" t="shared" si="7" ref="E90:E102">D90/C90*100</f>
        <v>58.85454545454546</v>
      </c>
      <c r="F90" s="12">
        <f>D90-C90</f>
        <v>-2.263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0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/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132.7</v>
      </c>
      <c r="D99" s="39">
        <f>D100</f>
        <v>91.35</v>
      </c>
      <c r="E99" s="11">
        <f t="shared" si="7"/>
        <v>68.83948756593821</v>
      </c>
      <c r="F99" s="11">
        <f t="shared" si="8"/>
        <v>-41.349999999999994</v>
      </c>
    </row>
    <row r="100" spans="1:6" s="9" customFormat="1" ht="15.75" customHeight="1">
      <c r="A100" s="59">
        <v>1403</v>
      </c>
      <c r="B100" s="60" t="s">
        <v>291</v>
      </c>
      <c r="C100" s="18">
        <v>132.7</v>
      </c>
      <c r="D100" s="18">
        <v>91.35</v>
      </c>
      <c r="E100" s="12">
        <f t="shared" si="7"/>
        <v>68.83948756593821</v>
      </c>
      <c r="F100" s="12">
        <f t="shared" si="8"/>
        <v>-41.349999999999994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139</v>
      </c>
      <c r="C103" s="39">
        <f>SUM(C52,C56,C58,C62,C66,C70,C72,C77,C79,C85,C89,C99)</f>
        <v>3815.585</v>
      </c>
      <c r="D103" s="39">
        <f>SUM(D52,D56,D58,D62,D66,D70,D72,D77,D79,D85,D89,D99)</f>
        <v>2620.10962</v>
      </c>
      <c r="E103" s="12">
        <f t="shared" si="6"/>
        <v>68.66862145647391</v>
      </c>
      <c r="F103" s="12">
        <f t="shared" si="5"/>
        <v>-1195.4753799999999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2">
      <selection activeCell="C42" sqref="C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328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358.43710000000004</v>
      </c>
      <c r="E5" s="12">
        <f aca="true" t="shared" si="0" ref="E5:E35">D5/C5*100</f>
        <v>61.31322271638729</v>
      </c>
      <c r="F5" s="12">
        <f aca="true" t="shared" si="1" ref="F5:F36">D5-C5</f>
        <v>-226.16289999999998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144.43512</v>
      </c>
      <c r="E6" s="12">
        <f t="shared" si="0"/>
        <v>49.49798492117889</v>
      </c>
      <c r="F6" s="12">
        <f t="shared" si="1"/>
        <v>-147.36488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144.43512</v>
      </c>
      <c r="E7" s="12">
        <f t="shared" si="0"/>
        <v>49.49798492117889</v>
      </c>
      <c r="F7" s="12">
        <f t="shared" si="1"/>
        <v>-147.36488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9.9516</v>
      </c>
      <c r="E8" s="12">
        <f t="shared" si="0"/>
        <v>93.88301886792453</v>
      </c>
      <c r="F8" s="12">
        <f t="shared" si="1"/>
        <v>-0.6484000000000005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9.9516</v>
      </c>
      <c r="E9" s="12">
        <f t="shared" si="0"/>
        <v>93.88301886792453</v>
      </c>
      <c r="F9" s="12">
        <f t="shared" si="1"/>
        <v>-0.6484000000000005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188.56714</v>
      </c>
      <c r="E10" s="12">
        <f t="shared" si="0"/>
        <v>72.19262633996937</v>
      </c>
      <c r="F10" s="12">
        <f t="shared" si="1"/>
        <v>-72.63286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174.9607</v>
      </c>
      <c r="E11" s="12">
        <f t="shared" si="0"/>
        <v>76.20239547038328</v>
      </c>
      <c r="F11" s="12">
        <f t="shared" si="1"/>
        <v>-54.63929999999999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13.60644</v>
      </c>
      <c r="E12" s="12">
        <f t="shared" si="0"/>
        <v>43.058354430379744</v>
      </c>
      <c r="F12" s="12">
        <f t="shared" si="1"/>
        <v>-17.993560000000002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15.48324</v>
      </c>
      <c r="E15" s="12">
        <f t="shared" si="0"/>
        <v>73.7297142857143</v>
      </c>
      <c r="F15" s="12">
        <f t="shared" si="1"/>
        <v>-5.51676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15.48324</v>
      </c>
      <c r="E17" s="12">
        <f t="shared" si="0"/>
        <v>73.7297142857143</v>
      </c>
      <c r="F17" s="12">
        <f t="shared" si="1"/>
        <v>-5.51676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55.5827</v>
      </c>
      <c r="E20" s="12">
        <f t="shared" si="0"/>
        <v>64.63104651162791</v>
      </c>
      <c r="F20" s="12">
        <f t="shared" si="1"/>
        <v>-30.417299999999997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31.9051</v>
      </c>
      <c r="E21" s="12">
        <f t="shared" si="0"/>
        <v>127.62040000000002</v>
      </c>
      <c r="F21" s="12">
        <f t="shared" si="1"/>
        <v>6.905100000000001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11.6085</v>
      </c>
      <c r="E25" s="12">
        <f t="shared" si="0"/>
        <v>29.02125</v>
      </c>
      <c r="F25" s="12">
        <f t="shared" si="1"/>
        <v>-28.3915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" customHeight="1">
      <c r="A35" s="13">
        <v>1169000000</v>
      </c>
      <c r="B35" s="14" t="s">
        <v>35</v>
      </c>
      <c r="C35" s="12">
        <v>0</v>
      </c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414.01980000000003</v>
      </c>
      <c r="E38" s="12">
        <f aca="true" t="shared" si="2" ref="E38:E47">D38/C38*100</f>
        <v>61.738711601550854</v>
      </c>
      <c r="F38" s="12">
        <f aca="true" t="shared" si="3" ref="F38:F47">D38-C38</f>
        <v>-256.5802</v>
      </c>
      <c r="G38" s="1"/>
    </row>
    <row r="39" spans="1:7" s="9" customFormat="1" ht="15.75">
      <c r="A39" s="10"/>
      <c r="B39" s="10" t="s">
        <v>39</v>
      </c>
      <c r="C39" s="11">
        <f>SUM(C40:C44)</f>
        <v>4116.657999999999</v>
      </c>
      <c r="D39" s="11">
        <f>SUM(D40:D44)</f>
        <v>3500.012</v>
      </c>
      <c r="E39" s="12">
        <f t="shared" si="2"/>
        <v>85.02071340393107</v>
      </c>
      <c r="F39" s="12">
        <f t="shared" si="3"/>
        <v>-616.6459999999993</v>
      </c>
      <c r="G39" s="1"/>
    </row>
    <row r="40" spans="1:8" s="9" customFormat="1" ht="15.75">
      <c r="A40" s="13">
        <v>2020100000</v>
      </c>
      <c r="B40" s="13" t="s">
        <v>40</v>
      </c>
      <c r="C40" s="12">
        <v>2405.2</v>
      </c>
      <c r="D40" s="12">
        <v>1964.61</v>
      </c>
      <c r="E40" s="12">
        <f t="shared" si="2"/>
        <v>81.68177282554466</v>
      </c>
      <c r="F40" s="12">
        <f t="shared" si="3"/>
        <v>-440.5899999999999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167.7</v>
      </c>
      <c r="D41" s="12">
        <v>139.8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1430.07</v>
      </c>
      <c r="D42" s="12">
        <v>1281.947</v>
      </c>
      <c r="E42" s="12">
        <f t="shared" si="2"/>
        <v>89.64225527421735</v>
      </c>
      <c r="F42" s="12">
        <f t="shared" si="3"/>
        <v>-148.12300000000005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113.688</v>
      </c>
      <c r="D43" s="12">
        <v>113.655</v>
      </c>
      <c r="E43" s="12">
        <f t="shared" si="2"/>
        <v>99.97097318978257</v>
      </c>
      <c r="F43" s="12">
        <f t="shared" si="3"/>
        <v>-0.03300000000000125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4787.258</v>
      </c>
      <c r="D46" s="11">
        <f>SUM(D39,D38)</f>
        <v>3914.0318</v>
      </c>
      <c r="E46" s="12">
        <f t="shared" si="2"/>
        <v>81.75936621757174</v>
      </c>
      <c r="F46" s="12">
        <f t="shared" si="3"/>
        <v>-873.2261999999996</v>
      </c>
      <c r="G46" s="1"/>
    </row>
    <row r="47" spans="1:7" s="9" customFormat="1" ht="15.75">
      <c r="A47" s="10"/>
      <c r="B47" s="22" t="s">
        <v>47</v>
      </c>
      <c r="C47" s="11">
        <f>C103-C46</f>
        <v>61.55000000000018</v>
      </c>
      <c r="D47" s="11">
        <f>D103-D46</f>
        <v>-466.6070500000001</v>
      </c>
      <c r="E47" s="12">
        <f t="shared" si="2"/>
        <v>-758.0943135662042</v>
      </c>
      <c r="F47" s="12">
        <f t="shared" si="3"/>
        <v>-528.1570500000003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776.418</v>
      </c>
      <c r="D52" s="39">
        <f>SUM(D53:D55)</f>
        <v>526.31332</v>
      </c>
      <c r="E52" s="11">
        <f>D52/C52*100</f>
        <v>67.78736711410606</v>
      </c>
      <c r="F52" s="11">
        <f>D52-C52</f>
        <v>-250.10468000000003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770.118</v>
      </c>
      <c r="D53" s="18">
        <v>526.31332</v>
      </c>
      <c r="E53" s="12">
        <f>D53/C53*100</f>
        <v>68.34190604556703</v>
      </c>
      <c r="F53" s="12">
        <f>D53-C53</f>
        <v>-243.80468000000008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6.3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75.74143</v>
      </c>
      <c r="E56" s="11">
        <f>D56/C56*100</f>
        <v>66.69140618120983</v>
      </c>
      <c r="F56" s="11">
        <f aca="true" t="shared" si="4" ref="F56:F103">D56-C56</f>
        <v>-37.82857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75.74143</v>
      </c>
      <c r="E57" s="12">
        <f>D57/C57*100</f>
        <v>66.69140618120983</v>
      </c>
      <c r="F57" s="12">
        <f t="shared" si="4"/>
        <v>-37.82857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162</v>
      </c>
      <c r="B60" s="48" t="s">
        <v>272</v>
      </c>
      <c r="C60" s="49">
        <v>10.7</v>
      </c>
      <c r="D60" s="49">
        <v>0</v>
      </c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C63+C65+C64</f>
        <v>58.38</v>
      </c>
      <c r="D62" s="39">
        <f>D63+D65+D64</f>
        <v>0</v>
      </c>
      <c r="E62" s="11">
        <f>D62/C62*100</f>
        <v>0</v>
      </c>
      <c r="F62" s="11">
        <f t="shared" si="4"/>
        <v>-58.38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58.38</v>
      </c>
      <c r="D65" s="18">
        <v>0</v>
      </c>
      <c r="E65" s="12">
        <f>D65/C65*100</f>
        <v>0</v>
      </c>
      <c r="F65" s="12">
        <f t="shared" si="4"/>
        <v>-58.38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740.72</v>
      </c>
      <c r="D66" s="39">
        <f>D67+D68+D69</f>
        <v>648.58393</v>
      </c>
      <c r="E66" s="11">
        <f>D66/C66*100</f>
        <v>87.56128226590344</v>
      </c>
      <c r="F66" s="11">
        <f t="shared" si="4"/>
        <v>-92.13607000000002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</v>
      </c>
      <c r="D68" s="18">
        <v>17.387</v>
      </c>
      <c r="E68" s="12"/>
      <c r="F68" s="12">
        <f t="shared" si="4"/>
        <v>-0.6129999999999995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722.72</v>
      </c>
      <c r="D69" s="18">
        <v>631.19693</v>
      </c>
      <c r="E69" s="12">
        <f>D69/C69*100</f>
        <v>87.33630313261013</v>
      </c>
      <c r="F69" s="12">
        <f t="shared" si="4"/>
        <v>-91.52307000000008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1894.7</v>
      </c>
      <c r="D77" s="39">
        <f>SUM(D78:D78)</f>
        <v>1383.03607</v>
      </c>
      <c r="E77" s="11">
        <f t="shared" si="5"/>
        <v>72.99498970813322</v>
      </c>
      <c r="F77" s="11">
        <f t="shared" si="4"/>
        <v>-511.66392999999994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1894.7</v>
      </c>
      <c r="D78" s="18">
        <v>1383.03607</v>
      </c>
      <c r="E78" s="12">
        <f t="shared" si="5"/>
        <v>72.99498970813322</v>
      </c>
      <c r="F78" s="12">
        <f t="shared" si="4"/>
        <v>-511.66392999999994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1194.77</v>
      </c>
      <c r="D85" s="39">
        <f>SUM(D86:D88)</f>
        <v>759.2</v>
      </c>
      <c r="E85" s="11">
        <f t="shared" si="5"/>
        <v>63.54361090419077</v>
      </c>
      <c r="F85" s="12">
        <f t="shared" si="4"/>
        <v>-435.56999999999994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1194.77</v>
      </c>
      <c r="D86" s="18">
        <v>759.2</v>
      </c>
      <c r="E86" s="12">
        <f t="shared" si="5"/>
        <v>63.54361090419077</v>
      </c>
      <c r="F86" s="12">
        <f t="shared" si="4"/>
        <v>-435.56999999999994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1">
        <f t="shared" si="4"/>
        <v>-5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8</v>
      </c>
      <c r="E90" s="12">
        <f aca="true" t="shared" si="6" ref="E90:E100"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46.55</v>
      </c>
      <c r="D99" s="39">
        <f>D100</f>
        <v>46.55</v>
      </c>
      <c r="E99" s="11">
        <f t="shared" si="6"/>
        <v>100</v>
      </c>
      <c r="F99" s="12">
        <f t="shared" si="7"/>
        <v>0</v>
      </c>
    </row>
    <row r="100" spans="1:6" s="9" customFormat="1" ht="15" customHeight="1">
      <c r="A100" s="59">
        <v>1403</v>
      </c>
      <c r="B100" s="60" t="s">
        <v>291</v>
      </c>
      <c r="C100" s="18">
        <v>46.55</v>
      </c>
      <c r="D100" s="18">
        <v>46.55</v>
      </c>
      <c r="E100" s="12">
        <f t="shared" si="6"/>
        <v>100</v>
      </c>
      <c r="F100" s="12">
        <f t="shared" si="7"/>
        <v>0</v>
      </c>
    </row>
    <row r="101" spans="1:6" s="9" customFormat="1" ht="0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4848.808</v>
      </c>
      <c r="D103" s="39">
        <f>SUM(D52,D56,D58,D62,D66,D70,D72,D77,D79,D85,D89,D99)</f>
        <v>3447.42475</v>
      </c>
      <c r="E103" s="11">
        <f t="shared" si="5"/>
        <v>71.09839676060591</v>
      </c>
      <c r="F103" s="11">
        <f t="shared" si="4"/>
        <v>-1401.3832499999999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D104" sqref="D10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329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234.43273</v>
      </c>
      <c r="E5" s="12">
        <f aca="true" t="shared" si="0" ref="E5:E35">D5/C5*100</f>
        <v>69.07269593400119</v>
      </c>
      <c r="F5" s="12">
        <f aca="true" t="shared" si="1" ref="F5:F36">D5-C5</f>
        <v>-104.96726999999998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81.39344</v>
      </c>
      <c r="E6" s="12">
        <f t="shared" si="0"/>
        <v>74.94791896869245</v>
      </c>
      <c r="F6" s="12">
        <f t="shared" si="1"/>
        <v>-27.206559999999996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81.39344</v>
      </c>
      <c r="E7" s="12">
        <f t="shared" si="0"/>
        <v>74.94791896869245</v>
      </c>
      <c r="F7" s="12">
        <f t="shared" si="1"/>
        <v>-27.206559999999996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0.70415</v>
      </c>
      <c r="E8" s="12"/>
      <c r="F8" s="12">
        <f t="shared" si="1"/>
        <v>0.70415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0.70415</v>
      </c>
      <c r="E9" s="12"/>
      <c r="F9" s="12">
        <f t="shared" si="1"/>
        <v>0.70415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132.82514</v>
      </c>
      <c r="E10" s="12">
        <f t="shared" si="0"/>
        <v>60.62306709265176</v>
      </c>
      <c r="F10" s="12">
        <f t="shared" si="1"/>
        <v>-86.27485999999999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127.99123</v>
      </c>
      <c r="E11" s="12">
        <f t="shared" si="0"/>
        <v>67.72022751322751</v>
      </c>
      <c r="F11" s="12">
        <f t="shared" si="1"/>
        <v>-61.00877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30.1</v>
      </c>
      <c r="D12" s="18">
        <v>4.83391</v>
      </c>
      <c r="E12" s="12">
        <f t="shared" si="0"/>
        <v>16.05950166112957</v>
      </c>
      <c r="F12" s="12">
        <f t="shared" si="1"/>
        <v>-25.266090000000002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19.51</v>
      </c>
      <c r="E15" s="12">
        <f t="shared" si="0"/>
        <v>166.75213675213678</v>
      </c>
      <c r="F15" s="12">
        <f t="shared" si="1"/>
        <v>7.810000000000002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19.51</v>
      </c>
      <c r="E17" s="12">
        <f t="shared" si="0"/>
        <v>166.75213675213678</v>
      </c>
      <c r="F17" s="12">
        <f t="shared" si="1"/>
        <v>7.810000000000002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112.53954999999999</v>
      </c>
      <c r="E20" s="12">
        <f t="shared" si="0"/>
        <v>148.0783552631579</v>
      </c>
      <c r="F20" s="12">
        <f t="shared" si="1"/>
        <v>36.53954999999999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97.37212</v>
      </c>
      <c r="E21" s="12">
        <f t="shared" si="0"/>
        <v>216.38248888888887</v>
      </c>
      <c r="F21" s="12">
        <f t="shared" si="1"/>
        <v>52.372119999999995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11.27993</v>
      </c>
      <c r="E34" s="12">
        <f t="shared" si="0"/>
        <v>1127.993</v>
      </c>
      <c r="F34" s="12">
        <f t="shared" si="1"/>
        <v>10.27993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346.97227999999996</v>
      </c>
      <c r="E38" s="12">
        <f aca="true" t="shared" si="2" ref="E38:E47">D38/C38*100</f>
        <v>83.52727010110736</v>
      </c>
      <c r="F38" s="12">
        <f aca="true" t="shared" si="3" ref="F38:F47">D38-C38</f>
        <v>-68.42772000000002</v>
      </c>
      <c r="G38" s="1"/>
    </row>
    <row r="39" spans="1:7" s="9" customFormat="1" ht="15.75">
      <c r="A39" s="10"/>
      <c r="B39" s="10" t="s">
        <v>39</v>
      </c>
      <c r="C39" s="11">
        <f>SUM(C40:C44)</f>
        <v>1981.874</v>
      </c>
      <c r="D39" s="11">
        <f>SUM(D40:D44)</f>
        <v>1583.641</v>
      </c>
      <c r="E39" s="12">
        <f t="shared" si="2"/>
        <v>79.90624025543501</v>
      </c>
      <c r="F39" s="12">
        <f t="shared" si="3"/>
        <v>-398.23299999999995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1760.9</v>
      </c>
      <c r="D40" s="12">
        <v>1439.19</v>
      </c>
      <c r="E40" s="12">
        <f t="shared" si="2"/>
        <v>81.73036515418252</v>
      </c>
      <c r="F40" s="12">
        <f t="shared" si="3"/>
        <v>-321.71000000000004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89.8</v>
      </c>
      <c r="E42" s="12">
        <f t="shared" si="2"/>
        <v>53.99879735417918</v>
      </c>
      <c r="F42" s="12">
        <f t="shared" si="3"/>
        <v>-76.50000000000001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54.674</v>
      </c>
      <c r="D43" s="12">
        <v>54.651</v>
      </c>
      <c r="E43" s="12">
        <f t="shared" si="2"/>
        <v>99.9579324724732</v>
      </c>
      <c r="F43" s="12">
        <f t="shared" si="3"/>
        <v>-0.022999999999996135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2397.274</v>
      </c>
      <c r="D46" s="11">
        <f>SUM(D39,D38)</f>
        <v>1930.61328</v>
      </c>
      <c r="E46" s="12">
        <f t="shared" si="2"/>
        <v>80.53369285279864</v>
      </c>
      <c r="F46" s="12">
        <f t="shared" si="3"/>
        <v>-466.66071999999986</v>
      </c>
      <c r="G46" s="1"/>
    </row>
    <row r="47" spans="1:7" s="9" customFormat="1" ht="15.75">
      <c r="A47" s="10"/>
      <c r="B47" s="22" t="s">
        <v>47</v>
      </c>
      <c r="C47" s="11">
        <f>C103-C46</f>
        <v>600.1020000000003</v>
      </c>
      <c r="D47" s="11">
        <f>D103-D46</f>
        <v>-278.45423000000005</v>
      </c>
      <c r="E47" s="12">
        <f t="shared" si="2"/>
        <v>-46.401150137809886</v>
      </c>
      <c r="F47" s="12">
        <f t="shared" si="3"/>
        <v>-878.5562300000004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779.40275</v>
      </c>
      <c r="D52" s="39">
        <f>SUM(D53:D55)</f>
        <v>551.91678</v>
      </c>
      <c r="E52" s="11">
        <f>D52/C52*100</f>
        <v>70.81278324973835</v>
      </c>
      <c r="F52" s="11">
        <f>D52-C52</f>
        <v>-227.48596999999995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770.804</v>
      </c>
      <c r="D53" s="18">
        <v>551.91678</v>
      </c>
      <c r="E53" s="12">
        <f>D53/C53*100</f>
        <v>71.60273947722119</v>
      </c>
      <c r="F53" s="12">
        <f>D53-C53</f>
        <v>-218.88721999999996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39.97756</v>
      </c>
      <c r="E56" s="11">
        <f>D56/C56*100</f>
        <v>73.23238688404469</v>
      </c>
      <c r="F56" s="11">
        <f aca="true" t="shared" si="4" ref="F56:F103">D56-C56</f>
        <v>-14.612440000000007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39.97756</v>
      </c>
      <c r="E57" s="12">
        <f>D57/C57*100</f>
        <v>73.23238688404469</v>
      </c>
      <c r="F57" s="12">
        <f t="shared" si="4"/>
        <v>-14.612440000000007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22.401249999999997</v>
      </c>
      <c r="D58" s="44">
        <f>SUM(D59:D61)</f>
        <v>15.90625</v>
      </c>
      <c r="E58" s="11">
        <f>D58/C58*100</f>
        <v>71.00608224987445</v>
      </c>
      <c r="F58" s="11">
        <f t="shared" si="4"/>
        <v>-6.494999999999997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12.40125</v>
      </c>
      <c r="D60" s="49">
        <v>10.57125</v>
      </c>
      <c r="E60" s="12"/>
      <c r="F60" s="12">
        <f t="shared" si="4"/>
        <v>-1.83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10</v>
      </c>
      <c r="D61" s="49">
        <v>5.335</v>
      </c>
      <c r="E61" s="12">
        <f aca="true" t="shared" si="5" ref="E61:E66">D61/C61*100</f>
        <v>53.349999999999994</v>
      </c>
      <c r="F61" s="12">
        <f t="shared" si="4"/>
        <v>-4.665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185.742</v>
      </c>
      <c r="D62" s="39">
        <f>D63+D64+D65</f>
        <v>9.18125</v>
      </c>
      <c r="E62" s="12">
        <f t="shared" si="5"/>
        <v>4.943012350464623</v>
      </c>
      <c r="F62" s="12">
        <f t="shared" si="4"/>
        <v>-176.56074999999998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185.742</v>
      </c>
      <c r="D65" s="18">
        <v>9.18125</v>
      </c>
      <c r="E65" s="12">
        <f t="shared" si="5"/>
        <v>4.943012350464623</v>
      </c>
      <c r="F65" s="12">
        <f t="shared" si="4"/>
        <v>-176.56074999999998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691.86</v>
      </c>
      <c r="D66" s="39">
        <f>D68+D69</f>
        <v>390.06479</v>
      </c>
      <c r="E66" s="11">
        <f t="shared" si="5"/>
        <v>56.37915040615154</v>
      </c>
      <c r="F66" s="11">
        <f t="shared" si="4"/>
        <v>-301.79521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691.86</v>
      </c>
      <c r="D69" s="18">
        <v>390.06479</v>
      </c>
      <c r="E69" s="12">
        <f>D69/C69*100</f>
        <v>56.37915040615154</v>
      </c>
      <c r="F69" s="12">
        <f t="shared" si="4"/>
        <v>-301.79521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1122.88</v>
      </c>
      <c r="D77" s="39">
        <f>SUM(D78:D78)</f>
        <v>543.54042</v>
      </c>
      <c r="E77" s="11">
        <f t="shared" si="6"/>
        <v>48.405922271302366</v>
      </c>
      <c r="F77" s="11">
        <f t="shared" si="4"/>
        <v>-579.3395800000001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1122.88</v>
      </c>
      <c r="D78" s="18">
        <v>543.54042</v>
      </c>
      <c r="E78" s="12">
        <f t="shared" si="6"/>
        <v>48.405922271302366</v>
      </c>
      <c r="F78" s="12">
        <f t="shared" si="4"/>
        <v>-579.3395800000001</v>
      </c>
      <c r="G78" s="31"/>
    </row>
    <row r="79" spans="1:7" s="9" customFormat="1" ht="17.25" customHeight="1" hidden="1">
      <c r="A79" s="37" t="s">
        <v>100</v>
      </c>
      <c r="B79" s="38" t="s">
        <v>267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131.5</v>
      </c>
      <c r="D99" s="39">
        <f>D100</f>
        <v>98.625</v>
      </c>
      <c r="E99" s="11">
        <f t="shared" si="7"/>
        <v>75</v>
      </c>
      <c r="F99" s="11">
        <f t="shared" si="8"/>
        <v>-32.875</v>
      </c>
    </row>
    <row r="100" spans="1:6" s="9" customFormat="1" ht="15.75" customHeight="1">
      <c r="A100" s="59">
        <v>1403</v>
      </c>
      <c r="B100" s="60" t="s">
        <v>291</v>
      </c>
      <c r="C100" s="18">
        <v>131.5</v>
      </c>
      <c r="D100" s="18">
        <v>98.625</v>
      </c>
      <c r="E100" s="12">
        <f t="shared" si="7"/>
        <v>75</v>
      </c>
      <c r="F100" s="12">
        <f t="shared" si="8"/>
        <v>-32.875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2997.376</v>
      </c>
      <c r="D103" s="39">
        <f>D52+D56+D58+D62+D66+D77+D85+D89+D99</f>
        <v>1652.15905</v>
      </c>
      <c r="E103" s="12">
        <f t="shared" si="6"/>
        <v>55.1201801175428</v>
      </c>
      <c r="F103" s="12">
        <f t="shared" si="4"/>
        <v>-1345.2169500000002</v>
      </c>
    </row>
    <row r="104" spans="1:6" s="9" customFormat="1" ht="15.75">
      <c r="A104" s="28"/>
      <c r="B104" s="29"/>
      <c r="C104" s="31"/>
      <c r="D104" s="215"/>
      <c r="E104" s="31"/>
      <c r="F104" s="31"/>
    </row>
    <row r="105" spans="1:4" s="9" customFormat="1" ht="12.75">
      <c r="A105" s="66" t="s">
        <v>140</v>
      </c>
      <c r="B105" s="66"/>
      <c r="D105" s="214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5"/>
  <sheetViews>
    <sheetView zoomScaleSheetLayoutView="70" zoomScalePageLayoutView="0" workbookViewId="0" topLeftCell="A11">
      <pane xSplit="1" topLeftCell="B1" activePane="topRight" state="frozen"/>
      <selection pane="topLeft" activeCell="A15" sqref="A15"/>
      <selection pane="topRight" activeCell="X32" sqref="X32"/>
    </sheetView>
  </sheetViews>
  <sheetFormatPr defaultColWidth="9.140625" defaultRowHeight="12.75"/>
  <cols>
    <col min="1" max="1" width="3.421875" style="101" customWidth="1"/>
    <col min="2" max="2" width="33.7109375" style="101" customWidth="1"/>
    <col min="3" max="3" width="8.421875" style="101" customWidth="1"/>
    <col min="4" max="4" width="7.8515625" style="102" customWidth="1"/>
    <col min="5" max="5" width="6.7109375" style="101" customWidth="1"/>
    <col min="6" max="6" width="7.57421875" style="101" customWidth="1"/>
    <col min="7" max="7" width="7.140625" style="101" customWidth="1"/>
    <col min="8" max="8" width="7.421875" style="101" customWidth="1"/>
    <col min="9" max="9" width="8.421875" style="101" customWidth="1"/>
    <col min="10" max="10" width="8.140625" style="101" customWidth="1"/>
    <col min="11" max="11" width="7.421875" style="101" customWidth="1"/>
    <col min="12" max="12" width="6.00390625" style="101" customWidth="1"/>
    <col min="13" max="13" width="5.57421875" style="101" customWidth="1"/>
    <col min="14" max="14" width="7.421875" style="101" customWidth="1"/>
    <col min="15" max="15" width="5.421875" style="101" customWidth="1"/>
    <col min="16" max="16" width="5.7109375" style="101" customWidth="1"/>
    <col min="17" max="17" width="7.421875" style="101" customWidth="1"/>
    <col min="18" max="19" width="6.57421875" style="101" customWidth="1"/>
    <col min="20" max="20" width="7.421875" style="101" customWidth="1"/>
    <col min="21" max="21" width="6.00390625" style="101" customWidth="1"/>
    <col min="22" max="22" width="6.140625" style="101" customWidth="1"/>
    <col min="23" max="23" width="7.421875" style="101" customWidth="1"/>
    <col min="24" max="25" width="7.140625" style="101" customWidth="1"/>
    <col min="26" max="29" width="7.421875" style="101" customWidth="1"/>
    <col min="30" max="30" width="6.140625" style="101" customWidth="1"/>
    <col min="31" max="31" width="5.57421875" style="101" customWidth="1"/>
    <col min="32" max="32" width="7.421875" style="101" customWidth="1"/>
    <col min="33" max="33" width="4.7109375" style="101" customWidth="1"/>
    <col min="34" max="34" width="4.00390625" style="101" customWidth="1"/>
    <col min="35" max="35" width="7.421875" style="101" customWidth="1"/>
    <col min="36" max="36" width="6.140625" style="101" customWidth="1"/>
    <col min="37" max="37" width="6.421875" style="101" customWidth="1"/>
    <col min="38" max="38" width="7.421875" style="101" customWidth="1"/>
    <col min="39" max="39" width="4.57421875" style="101" customWidth="1"/>
    <col min="40" max="40" width="5.7109375" style="101" customWidth="1"/>
    <col min="41" max="42" width="7.421875" style="101" customWidth="1"/>
    <col min="43" max="43" width="5.421875" style="101" customWidth="1"/>
    <col min="44" max="44" width="8.140625" style="101" customWidth="1"/>
    <col min="45" max="45" width="7.421875" style="101" customWidth="1"/>
    <col min="46" max="46" width="6.57421875" style="101" customWidth="1"/>
    <col min="47" max="53" width="7.421875" style="101" customWidth="1"/>
    <col min="54" max="54" width="11.28125" style="101" customWidth="1"/>
    <col min="55" max="55" width="10.7109375" style="101" customWidth="1"/>
    <col min="56" max="56" width="8.00390625" style="101" customWidth="1"/>
    <col min="57" max="57" width="7.7109375" style="101" customWidth="1"/>
    <col min="58" max="58" width="7.57421875" style="101" customWidth="1"/>
    <col min="59" max="59" width="7.421875" style="101" customWidth="1"/>
    <col min="60" max="60" width="6.7109375" style="101" customWidth="1"/>
    <col min="61" max="61" width="6.140625" style="101" customWidth="1"/>
    <col min="62" max="63" width="7.421875" style="101" customWidth="1"/>
    <col min="64" max="64" width="7.57421875" style="101" customWidth="1"/>
    <col min="65" max="65" width="6.7109375" style="101" customWidth="1"/>
    <col min="66" max="66" width="6.57421875" style="101" customWidth="1"/>
    <col min="67" max="67" width="6.421875" style="101" customWidth="1"/>
    <col min="68" max="68" width="6.8515625" style="101" customWidth="1"/>
    <col min="69" max="69" width="0.13671875" style="101" hidden="1" customWidth="1"/>
    <col min="70" max="71" width="7.421875" style="101" hidden="1" customWidth="1"/>
    <col min="72" max="72" width="9.57421875" style="101" hidden="1" customWidth="1"/>
    <col min="73" max="73" width="6.7109375" style="101" hidden="1" customWidth="1"/>
    <col min="74" max="74" width="7.57421875" style="101" hidden="1" customWidth="1"/>
    <col min="75" max="75" width="6.8515625" style="101" customWidth="1"/>
    <col min="76" max="76" width="7.28125" style="101" customWidth="1"/>
    <col min="77" max="77" width="7.00390625" style="101" customWidth="1"/>
    <col min="78" max="78" width="8.28125" style="101" customWidth="1"/>
    <col min="79" max="81" width="7.421875" style="101" customWidth="1"/>
    <col min="82" max="82" width="6.28125" style="101" customWidth="1"/>
    <col min="83" max="83" width="7.421875" style="101" customWidth="1"/>
    <col min="84" max="84" width="7.140625" style="101" customWidth="1"/>
    <col min="85" max="85" width="7.28125" style="101" customWidth="1"/>
    <col min="86" max="86" width="7.421875" style="101" customWidth="1"/>
    <col min="87" max="87" width="5.421875" style="101" customWidth="1"/>
    <col min="88" max="88" width="5.28125" style="101" customWidth="1"/>
    <col min="89" max="89" width="7.421875" style="101" customWidth="1"/>
    <col min="90" max="90" width="5.140625" style="101" customWidth="1"/>
    <col min="91" max="91" width="5.7109375" style="101" customWidth="1"/>
    <col min="92" max="94" width="7.421875" style="101" customWidth="1"/>
    <col min="95" max="95" width="7.28125" style="101" customWidth="1"/>
    <col min="96" max="96" width="7.421875" style="101" customWidth="1"/>
    <col min="97" max="97" width="6.421875" style="101" customWidth="1"/>
    <col min="98" max="98" width="7.421875" style="101" customWidth="1"/>
    <col min="99" max="99" width="5.57421875" style="101" customWidth="1"/>
    <col min="100" max="100" width="5.7109375" style="101" customWidth="1"/>
    <col min="101" max="101" width="8.00390625" style="101" customWidth="1"/>
    <col min="102" max="103" width="6.421875" style="101" customWidth="1"/>
    <col min="104" max="104" width="7.421875" style="101" customWidth="1"/>
    <col min="105" max="105" width="7.57421875" style="101" customWidth="1"/>
    <col min="106" max="106" width="7.140625" style="101" customWidth="1"/>
    <col min="107" max="107" width="7.57421875" style="101" customWidth="1"/>
    <col min="108" max="108" width="8.00390625" style="101" customWidth="1"/>
    <col min="109" max="109" width="7.140625" style="101" customWidth="1"/>
    <col min="110" max="110" width="7.28125" style="101" customWidth="1"/>
    <col min="111" max="111" width="7.00390625" style="101" customWidth="1"/>
    <col min="112" max="112" width="6.28125" style="101" customWidth="1"/>
    <col min="113" max="113" width="7.421875" style="101" customWidth="1"/>
    <col min="114" max="114" width="5.57421875" style="101" customWidth="1"/>
    <col min="115" max="115" width="5.140625" style="101" customWidth="1"/>
    <col min="116" max="116" width="7.421875" style="101" customWidth="1"/>
    <col min="117" max="117" width="6.140625" style="101" customWidth="1"/>
    <col min="118" max="118" width="6.57421875" style="101" customWidth="1"/>
    <col min="119" max="119" width="7.421875" style="101" customWidth="1"/>
    <col min="120" max="120" width="7.140625" style="101" customWidth="1"/>
    <col min="121" max="121" width="7.421875" style="101" customWidth="1"/>
    <col min="122" max="122" width="8.421875" style="101" customWidth="1"/>
    <col min="123" max="16384" width="9.140625" style="101" customWidth="1"/>
  </cols>
  <sheetData>
    <row r="1" spans="12:23" ht="13.5" customHeight="1">
      <c r="L1" s="265" t="s">
        <v>171</v>
      </c>
      <c r="M1" s="265"/>
      <c r="N1" s="265"/>
      <c r="O1" s="169"/>
      <c r="P1" s="169"/>
      <c r="Q1" s="169"/>
      <c r="R1" s="246"/>
      <c r="S1" s="246"/>
      <c r="T1" s="246"/>
      <c r="U1" s="103"/>
      <c r="V1" s="103"/>
      <c r="W1" s="103"/>
    </row>
    <row r="2" spans="12:23" ht="16.5" customHeight="1">
      <c r="L2" s="266" t="s">
        <v>172</v>
      </c>
      <c r="M2" s="266"/>
      <c r="N2" s="266"/>
      <c r="O2" s="152"/>
      <c r="P2" s="152"/>
      <c r="Q2" s="152"/>
      <c r="R2" s="246"/>
      <c r="S2" s="246"/>
      <c r="T2" s="246"/>
      <c r="U2" s="103"/>
      <c r="V2" s="103"/>
      <c r="W2" s="103"/>
    </row>
    <row r="3" spans="1:110" ht="14.25" customHeight="1">
      <c r="A3" s="104"/>
      <c r="B3" s="104"/>
      <c r="C3" s="104"/>
      <c r="D3" s="105"/>
      <c r="E3" s="104"/>
      <c r="F3" s="104"/>
      <c r="G3" s="104"/>
      <c r="H3" s="104"/>
      <c r="I3" s="104"/>
      <c r="L3" s="267" t="s">
        <v>173</v>
      </c>
      <c r="M3" s="267"/>
      <c r="N3" s="267"/>
      <c r="O3" s="104"/>
      <c r="P3" s="104"/>
      <c r="Q3" s="104"/>
      <c r="R3" s="247"/>
      <c r="S3" s="247"/>
      <c r="T3" s="247"/>
      <c r="U3" s="106"/>
      <c r="V3" s="106"/>
      <c r="W3" s="106"/>
      <c r="X3" s="104"/>
      <c r="Y3" s="104"/>
      <c r="Z3" s="104"/>
      <c r="AA3" s="104"/>
      <c r="AB3" s="104"/>
      <c r="AC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</row>
    <row r="4" spans="2:110" ht="21.75" customHeight="1">
      <c r="B4" s="268" t="s">
        <v>174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107"/>
      <c r="P4" s="107"/>
      <c r="Q4" s="107"/>
      <c r="R4" s="107"/>
      <c r="S4" s="107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</row>
    <row r="5" spans="2:110" ht="15" customHeight="1">
      <c r="B5" s="269" t="s">
        <v>311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108"/>
      <c r="P5" s="108"/>
      <c r="Q5" s="108"/>
      <c r="R5" s="108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</row>
    <row r="6" spans="1:122" ht="16.5" customHeight="1">
      <c r="A6" s="104"/>
      <c r="B6" s="104"/>
      <c r="C6" s="109"/>
      <c r="D6" s="110"/>
      <c r="E6" s="104"/>
      <c r="F6" s="104"/>
      <c r="I6" s="274"/>
      <c r="J6" s="274"/>
      <c r="K6" s="274"/>
      <c r="L6" s="274"/>
      <c r="M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P6" s="104"/>
      <c r="DQ6" s="104"/>
      <c r="DR6" s="104"/>
    </row>
    <row r="7" spans="1:122" s="112" customFormat="1" ht="15" customHeight="1">
      <c r="A7" s="264" t="s">
        <v>175</v>
      </c>
      <c r="B7" s="264" t="s">
        <v>176</v>
      </c>
      <c r="C7" s="248" t="s">
        <v>177</v>
      </c>
      <c r="D7" s="249"/>
      <c r="E7" s="250"/>
      <c r="F7" s="216" t="s">
        <v>178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8"/>
      <c r="BZ7" s="248" t="s">
        <v>179</v>
      </c>
      <c r="CA7" s="249"/>
      <c r="CB7" s="250"/>
      <c r="CC7" s="248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50"/>
      <c r="DP7" s="248" t="s">
        <v>180</v>
      </c>
      <c r="DQ7" s="249"/>
      <c r="DR7" s="250"/>
    </row>
    <row r="8" spans="1:122" s="112" customFormat="1" ht="17.25" customHeight="1">
      <c r="A8" s="264"/>
      <c r="B8" s="264"/>
      <c r="C8" s="256"/>
      <c r="D8" s="254"/>
      <c r="E8" s="255"/>
      <c r="F8" s="256" t="s">
        <v>181</v>
      </c>
      <c r="G8" s="254"/>
      <c r="H8" s="255"/>
      <c r="I8" s="277" t="s">
        <v>182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9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6"/>
      <c r="AV8" s="208"/>
      <c r="AW8" s="208"/>
      <c r="AX8" s="208"/>
      <c r="AY8" s="209"/>
      <c r="AZ8" s="209"/>
      <c r="BA8" s="209"/>
      <c r="BB8" s="254" t="s">
        <v>183</v>
      </c>
      <c r="BC8" s="254"/>
      <c r="BD8" s="255"/>
      <c r="BE8" s="251" t="s">
        <v>182</v>
      </c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03"/>
      <c r="BR8" s="203"/>
      <c r="BS8" s="203"/>
      <c r="BT8" s="256" t="s">
        <v>184</v>
      </c>
      <c r="BU8" s="254"/>
      <c r="BV8" s="255"/>
      <c r="BW8" s="243"/>
      <c r="BX8" s="244"/>
      <c r="BY8" s="245"/>
      <c r="BZ8" s="256"/>
      <c r="CA8" s="254"/>
      <c r="CB8" s="255"/>
      <c r="CC8" s="256" t="s">
        <v>182</v>
      </c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5"/>
      <c r="DP8" s="256"/>
      <c r="DQ8" s="254"/>
      <c r="DR8" s="255"/>
    </row>
    <row r="9" spans="1:122" s="112" customFormat="1" ht="17.25" customHeight="1">
      <c r="A9" s="264"/>
      <c r="B9" s="264"/>
      <c r="C9" s="256"/>
      <c r="D9" s="254"/>
      <c r="E9" s="255"/>
      <c r="F9" s="256"/>
      <c r="G9" s="254"/>
      <c r="H9" s="255"/>
      <c r="I9" s="248" t="s">
        <v>185</v>
      </c>
      <c r="J9" s="249"/>
      <c r="K9" s="250"/>
      <c r="L9" s="248" t="s">
        <v>186</v>
      </c>
      <c r="M9" s="249"/>
      <c r="N9" s="250"/>
      <c r="O9" s="248" t="s">
        <v>187</v>
      </c>
      <c r="P9" s="249"/>
      <c r="Q9" s="250"/>
      <c r="R9" s="248" t="s">
        <v>188</v>
      </c>
      <c r="S9" s="249"/>
      <c r="T9" s="250"/>
      <c r="U9" s="248" t="s">
        <v>189</v>
      </c>
      <c r="V9" s="249"/>
      <c r="W9" s="250"/>
      <c r="X9" s="248" t="s">
        <v>190</v>
      </c>
      <c r="Y9" s="249"/>
      <c r="Z9" s="250"/>
      <c r="AA9" s="248" t="s">
        <v>191</v>
      </c>
      <c r="AB9" s="249"/>
      <c r="AC9" s="250"/>
      <c r="AD9" s="248" t="s">
        <v>192</v>
      </c>
      <c r="AE9" s="249"/>
      <c r="AF9" s="250"/>
      <c r="AG9" s="248" t="s">
        <v>193</v>
      </c>
      <c r="AH9" s="249"/>
      <c r="AI9" s="250"/>
      <c r="AJ9" s="248" t="s">
        <v>194</v>
      </c>
      <c r="AK9" s="249"/>
      <c r="AL9" s="250"/>
      <c r="AM9" s="248" t="s">
        <v>195</v>
      </c>
      <c r="AN9" s="249"/>
      <c r="AO9" s="250"/>
      <c r="AP9" s="248" t="s">
        <v>302</v>
      </c>
      <c r="AQ9" s="249"/>
      <c r="AR9" s="250"/>
      <c r="AS9" s="248" t="s">
        <v>294</v>
      </c>
      <c r="AT9" s="249"/>
      <c r="AU9" s="250"/>
      <c r="AV9" s="248" t="s">
        <v>196</v>
      </c>
      <c r="AW9" s="249"/>
      <c r="AX9" s="250"/>
      <c r="AY9" s="256" t="s">
        <v>197</v>
      </c>
      <c r="AZ9" s="254"/>
      <c r="BA9" s="255"/>
      <c r="BB9" s="254"/>
      <c r="BC9" s="254"/>
      <c r="BD9" s="255"/>
      <c r="BE9" s="248" t="s">
        <v>198</v>
      </c>
      <c r="BF9" s="249"/>
      <c r="BG9" s="250"/>
      <c r="BH9" s="248" t="s">
        <v>295</v>
      </c>
      <c r="BI9" s="249"/>
      <c r="BJ9" s="250"/>
      <c r="BK9" s="248" t="s">
        <v>42</v>
      </c>
      <c r="BL9" s="249"/>
      <c r="BM9" s="250"/>
      <c r="BN9" s="248" t="s">
        <v>43</v>
      </c>
      <c r="BO9" s="249"/>
      <c r="BP9" s="250"/>
      <c r="BQ9" s="248" t="s">
        <v>44</v>
      </c>
      <c r="BR9" s="249"/>
      <c r="BS9" s="250"/>
      <c r="BT9" s="256"/>
      <c r="BU9" s="254"/>
      <c r="BV9" s="255"/>
      <c r="BW9" s="264" t="s">
        <v>309</v>
      </c>
      <c r="BX9" s="264"/>
      <c r="BY9" s="264"/>
      <c r="BZ9" s="256"/>
      <c r="CA9" s="254"/>
      <c r="CB9" s="255"/>
      <c r="CC9" s="258" t="s">
        <v>199</v>
      </c>
      <c r="CD9" s="259"/>
      <c r="CE9" s="260"/>
      <c r="CF9" s="257" t="s">
        <v>178</v>
      </c>
      <c r="CG9" s="257"/>
      <c r="CH9" s="257"/>
      <c r="CI9" s="257"/>
      <c r="CJ9" s="257"/>
      <c r="CK9" s="257"/>
      <c r="CL9" s="257"/>
      <c r="CM9" s="257"/>
      <c r="CN9" s="257"/>
      <c r="CO9" s="258" t="s">
        <v>208</v>
      </c>
      <c r="CP9" s="259"/>
      <c r="CQ9" s="260"/>
      <c r="CR9" s="258" t="s">
        <v>200</v>
      </c>
      <c r="CS9" s="259"/>
      <c r="CT9" s="260"/>
      <c r="CU9" s="258" t="s">
        <v>201</v>
      </c>
      <c r="CV9" s="259"/>
      <c r="CW9" s="260"/>
      <c r="CX9" s="258" t="s">
        <v>202</v>
      </c>
      <c r="CY9" s="259"/>
      <c r="CZ9" s="260"/>
      <c r="DA9" s="258" t="s">
        <v>203</v>
      </c>
      <c r="DB9" s="259"/>
      <c r="DC9" s="260"/>
      <c r="DD9" s="248" t="s">
        <v>204</v>
      </c>
      <c r="DE9" s="249"/>
      <c r="DF9" s="250"/>
      <c r="DG9" s="248" t="s">
        <v>205</v>
      </c>
      <c r="DH9" s="249"/>
      <c r="DI9" s="250"/>
      <c r="DJ9" s="248" t="s">
        <v>276</v>
      </c>
      <c r="DK9" s="249"/>
      <c r="DL9" s="250"/>
      <c r="DM9" s="264" t="s">
        <v>277</v>
      </c>
      <c r="DN9" s="264"/>
      <c r="DO9" s="264"/>
      <c r="DP9" s="256"/>
      <c r="DQ9" s="254"/>
      <c r="DR9" s="255"/>
    </row>
    <row r="10" spans="1:127" s="112" customFormat="1" ht="97.5" customHeight="1">
      <c r="A10" s="264"/>
      <c r="B10" s="264"/>
      <c r="C10" s="251"/>
      <c r="D10" s="252"/>
      <c r="E10" s="273"/>
      <c r="F10" s="251"/>
      <c r="G10" s="252"/>
      <c r="H10" s="253"/>
      <c r="I10" s="251"/>
      <c r="J10" s="252"/>
      <c r="K10" s="253"/>
      <c r="L10" s="251"/>
      <c r="M10" s="252"/>
      <c r="N10" s="253"/>
      <c r="O10" s="251"/>
      <c r="P10" s="252"/>
      <c r="Q10" s="253"/>
      <c r="R10" s="251"/>
      <c r="S10" s="252"/>
      <c r="T10" s="253"/>
      <c r="U10" s="251"/>
      <c r="V10" s="252"/>
      <c r="W10" s="253"/>
      <c r="X10" s="251"/>
      <c r="Y10" s="252"/>
      <c r="Z10" s="253"/>
      <c r="AA10" s="251"/>
      <c r="AB10" s="252"/>
      <c r="AC10" s="253"/>
      <c r="AD10" s="251"/>
      <c r="AE10" s="252"/>
      <c r="AF10" s="253"/>
      <c r="AG10" s="251"/>
      <c r="AH10" s="252"/>
      <c r="AI10" s="253"/>
      <c r="AJ10" s="251"/>
      <c r="AK10" s="252"/>
      <c r="AL10" s="253"/>
      <c r="AM10" s="251"/>
      <c r="AN10" s="252"/>
      <c r="AO10" s="253"/>
      <c r="AP10" s="251"/>
      <c r="AQ10" s="252"/>
      <c r="AR10" s="253"/>
      <c r="AS10" s="251"/>
      <c r="AT10" s="252"/>
      <c r="AU10" s="253"/>
      <c r="AV10" s="251"/>
      <c r="AW10" s="252"/>
      <c r="AX10" s="253"/>
      <c r="AY10" s="251"/>
      <c r="AZ10" s="252"/>
      <c r="BA10" s="253"/>
      <c r="BB10" s="252"/>
      <c r="BC10" s="252"/>
      <c r="BD10" s="253"/>
      <c r="BE10" s="251"/>
      <c r="BF10" s="252"/>
      <c r="BG10" s="253"/>
      <c r="BH10" s="251"/>
      <c r="BI10" s="252"/>
      <c r="BJ10" s="253"/>
      <c r="BK10" s="251"/>
      <c r="BL10" s="252"/>
      <c r="BM10" s="253"/>
      <c r="BN10" s="251"/>
      <c r="BO10" s="252"/>
      <c r="BP10" s="253"/>
      <c r="BQ10" s="251"/>
      <c r="BR10" s="252"/>
      <c r="BS10" s="253"/>
      <c r="BT10" s="251"/>
      <c r="BU10" s="252"/>
      <c r="BV10" s="253"/>
      <c r="BW10" s="264"/>
      <c r="BX10" s="264"/>
      <c r="BY10" s="264"/>
      <c r="BZ10" s="251"/>
      <c r="CA10" s="252"/>
      <c r="CB10" s="253"/>
      <c r="CC10" s="261"/>
      <c r="CD10" s="262"/>
      <c r="CE10" s="263"/>
      <c r="CF10" s="261" t="s">
        <v>206</v>
      </c>
      <c r="CG10" s="262"/>
      <c r="CH10" s="263"/>
      <c r="CI10" s="270" t="s">
        <v>207</v>
      </c>
      <c r="CJ10" s="271"/>
      <c r="CK10" s="272"/>
      <c r="CL10" s="261" t="s">
        <v>278</v>
      </c>
      <c r="CM10" s="262"/>
      <c r="CN10" s="263"/>
      <c r="CO10" s="261"/>
      <c r="CP10" s="262"/>
      <c r="CQ10" s="263"/>
      <c r="CR10" s="261"/>
      <c r="CS10" s="262"/>
      <c r="CT10" s="263"/>
      <c r="CU10" s="261"/>
      <c r="CV10" s="262"/>
      <c r="CW10" s="263"/>
      <c r="CX10" s="261"/>
      <c r="CY10" s="262"/>
      <c r="CZ10" s="263"/>
      <c r="DA10" s="261"/>
      <c r="DB10" s="262"/>
      <c r="DC10" s="263"/>
      <c r="DD10" s="251"/>
      <c r="DE10" s="252"/>
      <c r="DF10" s="253"/>
      <c r="DG10" s="251"/>
      <c r="DH10" s="252"/>
      <c r="DI10" s="253"/>
      <c r="DJ10" s="251"/>
      <c r="DK10" s="252"/>
      <c r="DL10" s="253"/>
      <c r="DM10" s="264"/>
      <c r="DN10" s="264"/>
      <c r="DO10" s="264"/>
      <c r="DP10" s="251"/>
      <c r="DQ10" s="252"/>
      <c r="DR10" s="253"/>
      <c r="DU10" s="254"/>
      <c r="DV10" s="254"/>
      <c r="DW10" s="254"/>
    </row>
    <row r="11" spans="1:127" s="112" customFormat="1" ht="33.75" customHeight="1">
      <c r="A11" s="264"/>
      <c r="B11" s="264"/>
      <c r="C11" s="113" t="s">
        <v>209</v>
      </c>
      <c r="D11" s="114" t="s">
        <v>210</v>
      </c>
      <c r="E11" s="113" t="s">
        <v>211</v>
      </c>
      <c r="F11" s="113" t="s">
        <v>209</v>
      </c>
      <c r="G11" s="113" t="s">
        <v>210</v>
      </c>
      <c r="H11" s="113" t="s">
        <v>211</v>
      </c>
      <c r="I11" s="113" t="s">
        <v>209</v>
      </c>
      <c r="J11" s="113" t="s">
        <v>210</v>
      </c>
      <c r="K11" s="113" t="s">
        <v>211</v>
      </c>
      <c r="L11" s="113" t="s">
        <v>209</v>
      </c>
      <c r="M11" s="113" t="s">
        <v>210</v>
      </c>
      <c r="N11" s="113" t="s">
        <v>211</v>
      </c>
      <c r="O11" s="113" t="s">
        <v>209</v>
      </c>
      <c r="P11" s="113" t="s">
        <v>210</v>
      </c>
      <c r="Q11" s="113" t="s">
        <v>211</v>
      </c>
      <c r="R11" s="113" t="s">
        <v>209</v>
      </c>
      <c r="S11" s="113" t="s">
        <v>210</v>
      </c>
      <c r="T11" s="113" t="s">
        <v>211</v>
      </c>
      <c r="U11" s="113" t="s">
        <v>209</v>
      </c>
      <c r="V11" s="113" t="s">
        <v>210</v>
      </c>
      <c r="W11" s="113" t="s">
        <v>211</v>
      </c>
      <c r="X11" s="113" t="s">
        <v>209</v>
      </c>
      <c r="Y11" s="113" t="s">
        <v>210</v>
      </c>
      <c r="Z11" s="113" t="s">
        <v>211</v>
      </c>
      <c r="AA11" s="113" t="s">
        <v>209</v>
      </c>
      <c r="AB11" s="113" t="s">
        <v>210</v>
      </c>
      <c r="AC11" s="113" t="s">
        <v>211</v>
      </c>
      <c r="AD11" s="113" t="s">
        <v>209</v>
      </c>
      <c r="AE11" s="113" t="s">
        <v>210</v>
      </c>
      <c r="AF11" s="113" t="s">
        <v>211</v>
      </c>
      <c r="AG11" s="113" t="s">
        <v>209</v>
      </c>
      <c r="AH11" s="113" t="s">
        <v>210</v>
      </c>
      <c r="AI11" s="113" t="s">
        <v>211</v>
      </c>
      <c r="AJ11" s="113" t="s">
        <v>212</v>
      </c>
      <c r="AK11" s="113" t="s">
        <v>210</v>
      </c>
      <c r="AL11" s="113" t="s">
        <v>211</v>
      </c>
      <c r="AM11" s="113" t="s">
        <v>209</v>
      </c>
      <c r="AN11" s="113" t="s">
        <v>210</v>
      </c>
      <c r="AO11" s="113" t="s">
        <v>211</v>
      </c>
      <c r="AP11" s="113" t="s">
        <v>209</v>
      </c>
      <c r="AQ11" s="113" t="s">
        <v>210</v>
      </c>
      <c r="AR11" s="113" t="s">
        <v>211</v>
      </c>
      <c r="AS11" s="113" t="s">
        <v>212</v>
      </c>
      <c r="AT11" s="113" t="s">
        <v>210</v>
      </c>
      <c r="AU11" s="113" t="s">
        <v>211</v>
      </c>
      <c r="AV11" s="113" t="s">
        <v>212</v>
      </c>
      <c r="AW11" s="113" t="s">
        <v>210</v>
      </c>
      <c r="AX11" s="113" t="s">
        <v>211</v>
      </c>
      <c r="AY11" s="113" t="s">
        <v>212</v>
      </c>
      <c r="AZ11" s="113" t="s">
        <v>210</v>
      </c>
      <c r="BA11" s="113" t="s">
        <v>211</v>
      </c>
      <c r="BB11" s="113" t="s">
        <v>209</v>
      </c>
      <c r="BC11" s="113" t="s">
        <v>210</v>
      </c>
      <c r="BD11" s="113" t="s">
        <v>211</v>
      </c>
      <c r="BE11" s="113" t="s">
        <v>209</v>
      </c>
      <c r="BF11" s="113" t="s">
        <v>210</v>
      </c>
      <c r="BG11" s="113" t="s">
        <v>211</v>
      </c>
      <c r="BH11" s="113" t="s">
        <v>209</v>
      </c>
      <c r="BI11" s="113" t="s">
        <v>210</v>
      </c>
      <c r="BJ11" s="113" t="s">
        <v>211</v>
      </c>
      <c r="BK11" s="113" t="s">
        <v>209</v>
      </c>
      <c r="BL11" s="113" t="s">
        <v>210</v>
      </c>
      <c r="BM11" s="113" t="s">
        <v>211</v>
      </c>
      <c r="BN11" s="113" t="s">
        <v>209</v>
      </c>
      <c r="BO11" s="113" t="s">
        <v>210</v>
      </c>
      <c r="BP11" s="113" t="s">
        <v>211</v>
      </c>
      <c r="BQ11" s="113" t="s">
        <v>209</v>
      </c>
      <c r="BR11" s="113" t="s">
        <v>210</v>
      </c>
      <c r="BS11" s="113" t="s">
        <v>211</v>
      </c>
      <c r="BT11" s="113" t="s">
        <v>209</v>
      </c>
      <c r="BU11" s="113" t="s">
        <v>210</v>
      </c>
      <c r="BV11" s="113" t="s">
        <v>211</v>
      </c>
      <c r="BW11" s="113" t="s">
        <v>209</v>
      </c>
      <c r="BX11" s="113" t="s">
        <v>210</v>
      </c>
      <c r="BY11" s="113" t="s">
        <v>211</v>
      </c>
      <c r="BZ11" s="113" t="s">
        <v>209</v>
      </c>
      <c r="CA11" s="113" t="s">
        <v>210</v>
      </c>
      <c r="CB11" s="113" t="s">
        <v>211</v>
      </c>
      <c r="CC11" s="113" t="s">
        <v>209</v>
      </c>
      <c r="CD11" s="113" t="s">
        <v>210</v>
      </c>
      <c r="CE11" s="113" t="s">
        <v>211</v>
      </c>
      <c r="CF11" s="113" t="s">
        <v>209</v>
      </c>
      <c r="CG11" s="113" t="s">
        <v>210</v>
      </c>
      <c r="CH11" s="113" t="s">
        <v>211</v>
      </c>
      <c r="CI11" s="113" t="s">
        <v>209</v>
      </c>
      <c r="CJ11" s="113" t="s">
        <v>210</v>
      </c>
      <c r="CK11" s="113" t="s">
        <v>211</v>
      </c>
      <c r="CL11" s="113" t="s">
        <v>209</v>
      </c>
      <c r="CM11" s="113" t="s">
        <v>210</v>
      </c>
      <c r="CN11" s="113" t="s">
        <v>211</v>
      </c>
      <c r="CO11" s="113" t="s">
        <v>209</v>
      </c>
      <c r="CP11" s="113" t="s">
        <v>210</v>
      </c>
      <c r="CQ11" s="113" t="s">
        <v>211</v>
      </c>
      <c r="CR11" s="113" t="s">
        <v>209</v>
      </c>
      <c r="CS11" s="113" t="s">
        <v>210</v>
      </c>
      <c r="CT11" s="113" t="s">
        <v>211</v>
      </c>
      <c r="CU11" s="113" t="s">
        <v>209</v>
      </c>
      <c r="CV11" s="113" t="s">
        <v>210</v>
      </c>
      <c r="CW11" s="113" t="s">
        <v>211</v>
      </c>
      <c r="CX11" s="113" t="s">
        <v>209</v>
      </c>
      <c r="CY11" s="113" t="s">
        <v>210</v>
      </c>
      <c r="CZ11" s="113" t="s">
        <v>211</v>
      </c>
      <c r="DA11" s="113" t="s">
        <v>209</v>
      </c>
      <c r="DB11" s="113" t="s">
        <v>210</v>
      </c>
      <c r="DC11" s="113" t="s">
        <v>211</v>
      </c>
      <c r="DD11" s="113" t="s">
        <v>209</v>
      </c>
      <c r="DE11" s="113" t="s">
        <v>210</v>
      </c>
      <c r="DF11" s="113" t="s">
        <v>211</v>
      </c>
      <c r="DG11" s="113" t="s">
        <v>209</v>
      </c>
      <c r="DH11" s="113" t="s">
        <v>210</v>
      </c>
      <c r="DI11" s="113" t="s">
        <v>211</v>
      </c>
      <c r="DJ11" s="113" t="s">
        <v>209</v>
      </c>
      <c r="DK11" s="113" t="s">
        <v>210</v>
      </c>
      <c r="DL11" s="113" t="s">
        <v>211</v>
      </c>
      <c r="DM11" s="113" t="s">
        <v>209</v>
      </c>
      <c r="DN11" s="113" t="s">
        <v>210</v>
      </c>
      <c r="DO11" s="113" t="s">
        <v>211</v>
      </c>
      <c r="DP11" s="113" t="s">
        <v>209</v>
      </c>
      <c r="DQ11" s="113" t="s">
        <v>210</v>
      </c>
      <c r="DR11" s="113" t="s">
        <v>211</v>
      </c>
      <c r="DU11" s="254"/>
      <c r="DV11" s="254"/>
      <c r="DW11" s="254"/>
    </row>
    <row r="12" spans="1:122" s="112" customFormat="1" ht="11.25" customHeight="1">
      <c r="A12" s="111">
        <v>1</v>
      </c>
      <c r="B12" s="113">
        <v>2</v>
      </c>
      <c r="C12" s="111">
        <v>3</v>
      </c>
      <c r="D12" s="114">
        <v>4</v>
      </c>
      <c r="E12" s="111">
        <v>5</v>
      </c>
      <c r="F12" s="113">
        <v>6</v>
      </c>
      <c r="G12" s="111">
        <v>7</v>
      </c>
      <c r="H12" s="113">
        <v>8</v>
      </c>
      <c r="I12" s="111">
        <v>9</v>
      </c>
      <c r="J12" s="113">
        <v>10</v>
      </c>
      <c r="K12" s="111">
        <v>11</v>
      </c>
      <c r="L12" s="113">
        <v>12</v>
      </c>
      <c r="M12" s="111">
        <v>13</v>
      </c>
      <c r="N12" s="113">
        <v>14</v>
      </c>
      <c r="O12" s="111">
        <v>15</v>
      </c>
      <c r="P12" s="113">
        <v>16</v>
      </c>
      <c r="Q12" s="111">
        <v>17</v>
      </c>
      <c r="R12" s="113">
        <v>18</v>
      </c>
      <c r="S12" s="111">
        <v>19</v>
      </c>
      <c r="T12" s="113">
        <v>20</v>
      </c>
      <c r="U12" s="111">
        <v>21</v>
      </c>
      <c r="V12" s="113">
        <v>22</v>
      </c>
      <c r="W12" s="111">
        <v>23</v>
      </c>
      <c r="X12" s="113">
        <v>24</v>
      </c>
      <c r="Y12" s="111">
        <v>25</v>
      </c>
      <c r="Z12" s="113">
        <v>26</v>
      </c>
      <c r="AA12" s="111">
        <v>27</v>
      </c>
      <c r="AB12" s="113">
        <v>28</v>
      </c>
      <c r="AC12" s="111">
        <v>29</v>
      </c>
      <c r="AD12" s="113">
        <v>30</v>
      </c>
      <c r="AE12" s="111">
        <v>31</v>
      </c>
      <c r="AF12" s="113">
        <v>32</v>
      </c>
      <c r="AG12" s="111">
        <v>33</v>
      </c>
      <c r="AH12" s="113">
        <v>34</v>
      </c>
      <c r="AI12" s="111">
        <v>35</v>
      </c>
      <c r="AJ12" s="113">
        <v>36</v>
      </c>
      <c r="AK12" s="111">
        <v>37</v>
      </c>
      <c r="AL12" s="113">
        <v>38</v>
      </c>
      <c r="AM12" s="111">
        <v>39</v>
      </c>
      <c r="AN12" s="113">
        <v>40</v>
      </c>
      <c r="AO12" s="111">
        <v>41</v>
      </c>
      <c r="AP12" s="111"/>
      <c r="AQ12" s="111"/>
      <c r="AR12" s="111"/>
      <c r="AS12" s="113">
        <v>42</v>
      </c>
      <c r="AT12" s="111">
        <v>43</v>
      </c>
      <c r="AU12" s="113">
        <v>44</v>
      </c>
      <c r="AV12" s="111">
        <v>45</v>
      </c>
      <c r="AW12" s="113">
        <v>46</v>
      </c>
      <c r="AX12" s="111">
        <v>47</v>
      </c>
      <c r="AY12" s="113">
        <v>48</v>
      </c>
      <c r="AZ12" s="111">
        <v>49</v>
      </c>
      <c r="BA12" s="113">
        <v>50</v>
      </c>
      <c r="BB12" s="111">
        <v>51</v>
      </c>
      <c r="BC12" s="113">
        <v>52</v>
      </c>
      <c r="BD12" s="111">
        <v>53</v>
      </c>
      <c r="BE12" s="113">
        <v>54</v>
      </c>
      <c r="BF12" s="111">
        <v>55</v>
      </c>
      <c r="BG12" s="113">
        <v>56</v>
      </c>
      <c r="BH12" s="111">
        <v>57</v>
      </c>
      <c r="BI12" s="113">
        <v>58</v>
      </c>
      <c r="BJ12" s="111">
        <v>59</v>
      </c>
      <c r="BK12" s="113">
        <v>60</v>
      </c>
      <c r="BL12" s="111">
        <v>61</v>
      </c>
      <c r="BM12" s="113">
        <v>62</v>
      </c>
      <c r="BN12" s="111">
        <v>63</v>
      </c>
      <c r="BO12" s="113">
        <v>64</v>
      </c>
      <c r="BP12" s="111">
        <v>65</v>
      </c>
      <c r="BQ12" s="111"/>
      <c r="BR12" s="111"/>
      <c r="BS12" s="111"/>
      <c r="BT12" s="113">
        <v>72</v>
      </c>
      <c r="BU12" s="111">
        <v>73</v>
      </c>
      <c r="BV12" s="113">
        <v>74</v>
      </c>
      <c r="BW12" s="113">
        <v>66</v>
      </c>
      <c r="BX12" s="113">
        <v>67</v>
      </c>
      <c r="BY12" s="113">
        <v>68</v>
      </c>
      <c r="BZ12" s="111">
        <v>75</v>
      </c>
      <c r="CA12" s="113">
        <v>76</v>
      </c>
      <c r="CB12" s="111">
        <v>77</v>
      </c>
      <c r="CC12" s="113">
        <v>78</v>
      </c>
      <c r="CD12" s="111">
        <v>79</v>
      </c>
      <c r="CE12" s="113">
        <v>80</v>
      </c>
      <c r="CF12" s="111">
        <v>81</v>
      </c>
      <c r="CG12" s="113">
        <v>82</v>
      </c>
      <c r="CH12" s="111">
        <v>83</v>
      </c>
      <c r="CI12" s="113">
        <v>84</v>
      </c>
      <c r="CJ12" s="111">
        <v>85</v>
      </c>
      <c r="CK12" s="113">
        <v>86</v>
      </c>
      <c r="CL12" s="111">
        <v>87</v>
      </c>
      <c r="CM12" s="113">
        <v>88</v>
      </c>
      <c r="CN12" s="111">
        <v>89</v>
      </c>
      <c r="CO12" s="113">
        <v>90</v>
      </c>
      <c r="CP12" s="111">
        <v>91</v>
      </c>
      <c r="CQ12" s="113">
        <v>92</v>
      </c>
      <c r="CR12" s="111">
        <v>93</v>
      </c>
      <c r="CS12" s="113">
        <v>94</v>
      </c>
      <c r="CT12" s="111">
        <v>95</v>
      </c>
      <c r="CU12" s="113">
        <v>96</v>
      </c>
      <c r="CV12" s="111">
        <v>97</v>
      </c>
      <c r="CW12" s="113">
        <v>98</v>
      </c>
      <c r="CX12" s="111">
        <v>99</v>
      </c>
      <c r="CY12" s="113">
        <v>100</v>
      </c>
      <c r="CZ12" s="111">
        <v>101</v>
      </c>
      <c r="DA12" s="113">
        <v>102</v>
      </c>
      <c r="DB12" s="111">
        <v>103</v>
      </c>
      <c r="DC12" s="113">
        <v>104</v>
      </c>
      <c r="DD12" s="111">
        <v>105</v>
      </c>
      <c r="DE12" s="113">
        <v>106</v>
      </c>
      <c r="DF12" s="111">
        <v>107</v>
      </c>
      <c r="DG12" s="113">
        <v>108</v>
      </c>
      <c r="DH12" s="111">
        <v>109</v>
      </c>
      <c r="DI12" s="113">
        <v>110</v>
      </c>
      <c r="DJ12" s="111">
        <v>111</v>
      </c>
      <c r="DK12" s="113">
        <v>112</v>
      </c>
      <c r="DL12" s="111">
        <v>113</v>
      </c>
      <c r="DM12" s="113">
        <v>114</v>
      </c>
      <c r="DN12" s="111">
        <v>115</v>
      </c>
      <c r="DO12" s="113">
        <v>116</v>
      </c>
      <c r="DP12" s="111">
        <v>117</v>
      </c>
      <c r="DQ12" s="113">
        <v>118</v>
      </c>
      <c r="DR12" s="111">
        <v>119</v>
      </c>
    </row>
    <row r="13" spans="1:122" s="112" customFormat="1" ht="15" customHeight="1">
      <c r="A13" s="115">
        <v>1</v>
      </c>
      <c r="B13" s="116" t="s">
        <v>213</v>
      </c>
      <c r="C13" s="117">
        <f>F13+BB13</f>
        <v>3968.4890000000005</v>
      </c>
      <c r="D13" s="118">
        <f aca="true" t="shared" si="0" ref="D13:D28">G13+BC13+BU13</f>
        <v>2998.0371900000005</v>
      </c>
      <c r="E13" s="119">
        <f aca="true" t="shared" si="1" ref="E13:E28">D13/C13*100</f>
        <v>75.5460627457957</v>
      </c>
      <c r="F13" s="120">
        <f>I13+L13+O13+R13+U13+X13+AA13+AD13+AJ13+AV13+AS13+AM13+AG13+AY13</f>
        <v>388</v>
      </c>
      <c r="G13" s="120">
        <f>J13+M13+P13+S13+V13+Y13+AB13+AE13+AH13+AK13+AN13+AT13+AW13+AZ13+AQ13</f>
        <v>242.27219</v>
      </c>
      <c r="H13" s="119">
        <f>G13/F13*100</f>
        <v>62.44128608247422</v>
      </c>
      <c r="I13" s="147">
        <f>Ал!C7</f>
        <v>128.8</v>
      </c>
      <c r="J13" s="121">
        <f>Ал!D7</f>
        <v>96.60465</v>
      </c>
      <c r="K13" s="119">
        <f>J13/I13*100</f>
        <v>75.0036102484472</v>
      </c>
      <c r="L13" s="121">
        <f>Ал!C9</f>
        <v>10</v>
      </c>
      <c r="M13" s="121">
        <f>Ал!D9</f>
        <v>0.5196</v>
      </c>
      <c r="N13" s="119">
        <f>M13/L13*100</f>
        <v>5.195999999999999</v>
      </c>
      <c r="O13" s="121">
        <f>Ал!C12</f>
        <v>8</v>
      </c>
      <c r="P13" s="121">
        <f>Ал!D12</f>
        <v>4.12785</v>
      </c>
      <c r="Q13" s="119">
        <f>P13/O13*100</f>
        <v>51.598124999999996</v>
      </c>
      <c r="R13" s="121">
        <f>Ал!C11</f>
        <v>174.2</v>
      </c>
      <c r="S13" s="121">
        <f>Ал!D11</f>
        <v>127.63088</v>
      </c>
      <c r="T13" s="119">
        <f>S13/R13*100</f>
        <v>73.2668656716418</v>
      </c>
      <c r="U13" s="119">
        <f>Ал!C17</f>
        <v>9</v>
      </c>
      <c r="V13" s="119">
        <f>Ал!D17</f>
        <v>1.9</v>
      </c>
      <c r="W13" s="119">
        <f>V13/U13*100</f>
        <v>21.11111111111111</v>
      </c>
      <c r="X13" s="121">
        <f>Ал!C21</f>
        <v>9</v>
      </c>
      <c r="Y13" s="121">
        <f>Ал!D21</f>
        <v>9.42011</v>
      </c>
      <c r="Z13" s="119">
        <f>Y13/X13*100</f>
        <v>104.66788888888887</v>
      </c>
      <c r="AA13" s="121"/>
      <c r="AB13" s="121"/>
      <c r="AC13" s="119" t="e">
        <f>AB13/AA13*100</f>
        <v>#DIV/0!</v>
      </c>
      <c r="AD13" s="121">
        <f>Ал!C22</f>
        <v>18</v>
      </c>
      <c r="AE13" s="121">
        <f>Ал!D22</f>
        <v>2.0691</v>
      </c>
      <c r="AF13" s="119">
        <f>AE13/AD13*100</f>
        <v>11.495000000000001</v>
      </c>
      <c r="AG13" s="121"/>
      <c r="AH13" s="121">
        <f>Ал!D19</f>
        <v>0</v>
      </c>
      <c r="AI13" s="119" t="e">
        <f>AH13/AG13*100</f>
        <v>#DIV/0!</v>
      </c>
      <c r="AJ13" s="119">
        <f>Ал!C25</f>
        <v>30</v>
      </c>
      <c r="AK13" s="119">
        <f>Ал!D25</f>
        <v>0</v>
      </c>
      <c r="AL13" s="119">
        <f>AK13/AJ13*100</f>
        <v>0</v>
      </c>
      <c r="AM13" s="119">
        <f>Ал!C34</f>
        <v>1</v>
      </c>
      <c r="AN13" s="119">
        <f>Ал!D34</f>
        <v>0</v>
      </c>
      <c r="AO13" s="119">
        <f>AN13/AM13*100</f>
        <v>0</v>
      </c>
      <c r="AP13" s="119"/>
      <c r="AQ13" s="119"/>
      <c r="AR13" s="119"/>
      <c r="AS13" s="119"/>
      <c r="AT13" s="119">
        <f>Ал!D36</f>
        <v>0</v>
      </c>
      <c r="AU13" s="119" t="e">
        <f>AT13/AS13*100</f>
        <v>#DIV/0!</v>
      </c>
      <c r="AV13" s="119"/>
      <c r="AW13" s="119"/>
      <c r="AX13" s="122" t="e">
        <f>AV13/AW13*100</f>
        <v>#DIV/0!</v>
      </c>
      <c r="AY13" s="122"/>
      <c r="AZ13" s="122"/>
      <c r="BA13" s="122" t="e">
        <f>AY13/AZ13*100</f>
        <v>#DIV/0!</v>
      </c>
      <c r="BB13" s="121">
        <f>BE13+BH13+BK13+BN13+BQ13</f>
        <v>3580.4890000000005</v>
      </c>
      <c r="BC13" s="121">
        <f>BF13+BI13+BL13+BO13+BR13</f>
        <v>2755.7650000000003</v>
      </c>
      <c r="BD13" s="119">
        <f>BC13/BB13*100</f>
        <v>76.96616300175758</v>
      </c>
      <c r="BE13" s="123">
        <f>Ал!C40</f>
        <v>881.5</v>
      </c>
      <c r="BF13" s="123">
        <f>Ал!D40</f>
        <v>718.7</v>
      </c>
      <c r="BG13" s="119">
        <f>BF13/BE13*100</f>
        <v>81.53148043108338</v>
      </c>
      <c r="BH13" s="119">
        <f>Ал!C41</f>
        <v>718.2</v>
      </c>
      <c r="BI13" s="119">
        <f>Ал!D41</f>
        <v>598.5</v>
      </c>
      <c r="BJ13" s="119">
        <f>BI13/BH13*100</f>
        <v>83.33333333333333</v>
      </c>
      <c r="BK13" s="119">
        <f>Ал!C42</f>
        <v>1926.15</v>
      </c>
      <c r="BL13" s="119">
        <f>Ал!D42</f>
        <v>1383.94</v>
      </c>
      <c r="BM13" s="119">
        <f aca="true" t="shared" si="2" ref="BM13:BM30">BL13/BK13*100</f>
        <v>71.8500635983698</v>
      </c>
      <c r="BN13" s="119">
        <f>Ал!C43</f>
        <v>54.639</v>
      </c>
      <c r="BO13" s="119">
        <f>Ал!D43</f>
        <v>54.625</v>
      </c>
      <c r="BP13" s="119">
        <f aca="true" t="shared" si="3" ref="BP13:BP30">BO13/BN13*100</f>
        <v>99.97437727630447</v>
      </c>
      <c r="BQ13" s="119"/>
      <c r="BR13" s="119"/>
      <c r="BS13" s="119" t="e">
        <f aca="true" t="shared" si="4" ref="BS13:BS30">BR13/BQ13*100</f>
        <v>#DIV/0!</v>
      </c>
      <c r="BT13" s="121"/>
      <c r="BU13" s="121"/>
      <c r="BV13" s="119" t="e">
        <f>BU13/BT13*100</f>
        <v>#DIV/0!</v>
      </c>
      <c r="BW13" s="119"/>
      <c r="BX13" s="119"/>
      <c r="BY13" s="119"/>
      <c r="BZ13" s="121">
        <f aca="true" t="shared" si="5" ref="BZ13:BZ28">SUM(CC13,CR13,CU13,CX13,DA13,DD13,DG13,DM13,DJ13)</f>
        <v>4018.4890000000005</v>
      </c>
      <c r="CA13" s="121">
        <f aca="true" t="shared" si="6" ref="CA13:CA28">SUM(CD13,CS13,CV13,CY13,DB13,DE13,DH13,DN13,DK13)</f>
        <v>2656.7090799999996</v>
      </c>
      <c r="CB13" s="119">
        <f>CA13/BZ13*100</f>
        <v>66.11214016014475</v>
      </c>
      <c r="CC13" s="121">
        <f>CF13+CL13+CI13+CO13</f>
        <v>578.04775</v>
      </c>
      <c r="CD13" s="121">
        <f>CG13+CM13+CJ13+CP13</f>
        <v>417.4106</v>
      </c>
      <c r="CE13" s="119">
        <f>CD13/CC13*100</f>
        <v>72.21040130335254</v>
      </c>
      <c r="CF13" s="119">
        <f>Ал!C53</f>
        <v>548.149</v>
      </c>
      <c r="CG13" s="119">
        <f>Ал!D53</f>
        <v>391.1106</v>
      </c>
      <c r="CH13" s="119">
        <f>CG13/CF13*100</f>
        <v>71.3511472245685</v>
      </c>
      <c r="CI13" s="119">
        <f>Ал!C54</f>
        <v>26.3</v>
      </c>
      <c r="CJ13" s="119">
        <f>Ал!D54</f>
        <v>26.3</v>
      </c>
      <c r="CK13" s="119">
        <f>CJ13/CI13*100</f>
        <v>100</v>
      </c>
      <c r="CL13" s="119">
        <f>Ал!C55</f>
        <v>3.59875</v>
      </c>
      <c r="CM13" s="119"/>
      <c r="CN13" s="119">
        <f>CM13/CL13*100</f>
        <v>0</v>
      </c>
      <c r="CO13" s="119"/>
      <c r="CP13" s="119"/>
      <c r="CQ13" s="119" t="e">
        <f>CP13/CO13*100</f>
        <v>#DIV/0!</v>
      </c>
      <c r="CR13" s="119">
        <f>Ал!C56</f>
        <v>54.59</v>
      </c>
      <c r="CS13" s="119">
        <f>Ал!D56</f>
        <v>27.4754</v>
      </c>
      <c r="CT13" s="119">
        <f>CS13/CR13*100</f>
        <v>50.33046345484521</v>
      </c>
      <c r="CU13" s="119">
        <f>Ал!C58</f>
        <v>51.40125</v>
      </c>
      <c r="CV13" s="119">
        <f>Ал!D58</f>
        <v>6.90125</v>
      </c>
      <c r="CW13" s="119">
        <f>CV13/CU13*100</f>
        <v>13.426229906860243</v>
      </c>
      <c r="CX13" s="121">
        <f>Ал!C62</f>
        <v>0</v>
      </c>
      <c r="CY13" s="121">
        <f>Ал!D62</f>
        <v>0</v>
      </c>
      <c r="CZ13" s="119" t="e">
        <f>CY13/CX13*100</f>
        <v>#DIV/0!</v>
      </c>
      <c r="DA13" s="121">
        <f>Ал!C66</f>
        <v>485.8</v>
      </c>
      <c r="DB13" s="121">
        <f>Ал!D66</f>
        <v>377.61942</v>
      </c>
      <c r="DC13" s="119">
        <f>DB13/DA13*100</f>
        <v>77.73145738987238</v>
      </c>
      <c r="DD13" s="121">
        <f>Ал!C77</f>
        <v>936.8</v>
      </c>
      <c r="DE13" s="121">
        <f>Ал!D77</f>
        <v>544.64241</v>
      </c>
      <c r="DF13" s="119">
        <f aca="true" t="shared" si="7" ref="DF13:DF28">DE13/DD13*100</f>
        <v>58.13860055508113</v>
      </c>
      <c r="DG13" s="119">
        <f>Ал!C85</f>
        <v>1829.05</v>
      </c>
      <c r="DH13" s="119">
        <f>Ал!D85</f>
        <v>1221.07</v>
      </c>
      <c r="DI13" s="119">
        <f aca="true" t="shared" si="8" ref="DI13:DI28">DH13/DG13*100</f>
        <v>66.75979333533802</v>
      </c>
      <c r="DJ13" s="120">
        <f>Ал!C89</f>
        <v>6</v>
      </c>
      <c r="DK13" s="120">
        <f>Ал!D89</f>
        <v>3.99</v>
      </c>
      <c r="DL13" s="119">
        <f>DK13/DJ13*100</f>
        <v>66.5</v>
      </c>
      <c r="DM13" s="119">
        <f>Ал!C99</f>
        <v>76.8</v>
      </c>
      <c r="DN13" s="119">
        <f>Ал!D99</f>
        <v>57.6</v>
      </c>
      <c r="DO13" s="119">
        <f>DN13/DM13*100</f>
        <v>75</v>
      </c>
      <c r="DP13" s="124">
        <f aca="true" t="shared" si="9" ref="DP13:DP28">SUM(BZ13-C13)</f>
        <v>50</v>
      </c>
      <c r="DQ13" s="124">
        <f aca="true" t="shared" si="10" ref="DQ13:DQ28">SUM(CA13-D13)</f>
        <v>-341.32811000000083</v>
      </c>
      <c r="DR13" s="119">
        <f>DQ13/DP13*100</f>
        <v>-682.6562200000017</v>
      </c>
    </row>
    <row r="14" spans="1:122" s="132" customFormat="1" ht="15" customHeight="1">
      <c r="A14" s="125">
        <v>2</v>
      </c>
      <c r="B14" s="126" t="s">
        <v>214</v>
      </c>
      <c r="C14" s="158">
        <f aca="true" t="shared" si="11" ref="C14:C28">F14+BB14</f>
        <v>5995.606</v>
      </c>
      <c r="D14" s="158">
        <f>G14+BC14+BU14</f>
        <v>4968.74821</v>
      </c>
      <c r="E14" s="127">
        <f t="shared" si="1"/>
        <v>82.87316094486529</v>
      </c>
      <c r="F14" s="128">
        <f aca="true" t="shared" si="12" ref="F14:F28">I14+L14+O14+R14+U14+X14+AA14+AD14+AJ14+AV14+AS14+AM14+AG14+AY14</f>
        <v>1480.2</v>
      </c>
      <c r="G14" s="120">
        <f aca="true" t="shared" si="13" ref="G14:G28">J14+M14+P14+S14+V14+Y14+AB14+AE14+AH14+AK14+AN14+AT14+AW14+AZ14+AQ14</f>
        <v>1453.63521</v>
      </c>
      <c r="H14" s="127">
        <f aca="true" t="shared" si="14" ref="H14:H28">G14/F14*100</f>
        <v>98.20532428050262</v>
      </c>
      <c r="I14" s="129">
        <f>'Б.Сун'!C7</f>
        <v>839.6</v>
      </c>
      <c r="J14" s="129">
        <f>'Б.Сун'!D7</f>
        <v>775.05916</v>
      </c>
      <c r="K14" s="127">
        <f aca="true" t="shared" si="15" ref="K14:K28">J14/I14*100</f>
        <v>92.3129061457837</v>
      </c>
      <c r="L14" s="129">
        <f>'Б.Сун'!C9</f>
        <v>14.5</v>
      </c>
      <c r="M14" s="129">
        <f>'Б.Сун'!D9</f>
        <v>18.47531</v>
      </c>
      <c r="N14" s="127">
        <f aca="true" t="shared" si="16" ref="N14:N28">M14/L14*100</f>
        <v>127.41593103448277</v>
      </c>
      <c r="O14" s="129">
        <f>'Б.Сун'!C12</f>
        <v>34.8</v>
      </c>
      <c r="P14" s="129">
        <f>'Б.Сун'!D12</f>
        <v>13.4893</v>
      </c>
      <c r="Q14" s="127">
        <f aca="true" t="shared" si="17" ref="Q14:Q28">P14/O14*100</f>
        <v>38.762356321839086</v>
      </c>
      <c r="R14" s="129">
        <f>'Б.Сун'!C11</f>
        <v>299.8</v>
      </c>
      <c r="S14" s="129">
        <f>'Б.Сун'!D11</f>
        <v>310.91356</v>
      </c>
      <c r="T14" s="127">
        <f aca="true" t="shared" si="18" ref="T14:T28">S14/R14*100</f>
        <v>103.7069913275517</v>
      </c>
      <c r="U14" s="127">
        <f>'Б.Сун'!C17</f>
        <v>32.5</v>
      </c>
      <c r="V14" s="127">
        <f>'Б.Сун'!D17</f>
        <v>31.1</v>
      </c>
      <c r="W14" s="127">
        <f aca="true" t="shared" si="19" ref="W14:W30">V14/U14*100</f>
        <v>95.6923076923077</v>
      </c>
      <c r="X14" s="129">
        <f>'Б.Сун'!C21</f>
        <v>157</v>
      </c>
      <c r="Y14" s="129">
        <f>'Б.Сун'!D21</f>
        <v>171.71044</v>
      </c>
      <c r="Z14" s="127">
        <f aca="true" t="shared" si="20" ref="Z14:Z28">Y14/X14*100</f>
        <v>109.36970700636944</v>
      </c>
      <c r="AA14" s="129"/>
      <c r="AB14" s="129"/>
      <c r="AC14" s="127" t="e">
        <f aca="true" t="shared" si="21" ref="AC14:AC28">AB14/AA14*100</f>
        <v>#DIV/0!</v>
      </c>
      <c r="AD14" s="129">
        <f>'Б.Сун'!C22</f>
        <v>0</v>
      </c>
      <c r="AE14" s="129">
        <f>'Б.Сун'!D22</f>
        <v>64.583</v>
      </c>
      <c r="AF14" s="127" t="e">
        <f aca="true" t="shared" si="22" ref="AF14:AF28">AE14/AD14*100</f>
        <v>#DIV/0!</v>
      </c>
      <c r="AG14" s="129"/>
      <c r="AH14" s="121">
        <f>'Б.Сун'!D19</f>
        <v>0</v>
      </c>
      <c r="AI14" s="127" t="e">
        <f aca="true" t="shared" si="23" ref="AI14:AI28">AH14/AG14*100</f>
        <v>#DIV/0!</v>
      </c>
      <c r="AJ14" s="127">
        <f>'Б.Сун'!C25</f>
        <v>100</v>
      </c>
      <c r="AK14" s="127">
        <f>'Б.Сун'!D25</f>
        <v>55.30444</v>
      </c>
      <c r="AL14" s="127">
        <f aca="true" t="shared" si="24" ref="AL14:AL30">AK14/AJ14*100</f>
        <v>55.30444</v>
      </c>
      <c r="AM14" s="127">
        <f>'Б.Сун'!C34</f>
        <v>2</v>
      </c>
      <c r="AN14" s="127">
        <f>'Б.Сун'!D34</f>
        <v>0</v>
      </c>
      <c r="AO14" s="127">
        <f aca="true" t="shared" si="25" ref="AO14:AO28">AN14/AM14*100</f>
        <v>0</v>
      </c>
      <c r="AP14" s="127"/>
      <c r="AQ14" s="127">
        <f>'Б.Сун'!D35</f>
        <v>13</v>
      </c>
      <c r="AR14" s="127"/>
      <c r="AS14" s="127"/>
      <c r="AT14" s="119">
        <f>Иль!D36</f>
        <v>0</v>
      </c>
      <c r="AU14" s="127" t="e">
        <f aca="true" t="shared" si="26" ref="AU14:AU28">AT14/AS14*100</f>
        <v>#DIV/0!</v>
      </c>
      <c r="AV14" s="127"/>
      <c r="AW14" s="127"/>
      <c r="AX14" s="130" t="e">
        <f aca="true" t="shared" si="27" ref="AX14:AX28">AV14/AW14*100</f>
        <v>#DIV/0!</v>
      </c>
      <c r="AY14" s="130"/>
      <c r="AZ14" s="130"/>
      <c r="BA14" s="130" t="e">
        <f aca="true" t="shared" si="28" ref="BA14:BA28">AY14/AZ14*100</f>
        <v>#DIV/0!</v>
      </c>
      <c r="BB14" s="129">
        <f>BE14+BH14+BK14+BN14+BQ14</f>
        <v>4515.406</v>
      </c>
      <c r="BC14" s="129">
        <f>BF14+BI14+BL14+BO14+BR14</f>
        <v>3515.1130000000003</v>
      </c>
      <c r="BD14" s="127">
        <f>BC14/BB14*100</f>
        <v>77.84710832204237</v>
      </c>
      <c r="BE14" s="127">
        <f>'Б.Сун'!C40</f>
        <v>3124.8</v>
      </c>
      <c r="BF14" s="127">
        <f>'Б.Сун'!D40</f>
        <v>2545.85</v>
      </c>
      <c r="BG14" s="127">
        <f aca="true" t="shared" si="29" ref="BG14:BG28">BF14/BE14*100</f>
        <v>81.472414234511</v>
      </c>
      <c r="BH14" s="119"/>
      <c r="BI14" s="127"/>
      <c r="BJ14" s="127" t="e">
        <f aca="true" t="shared" si="30" ref="BJ14:BJ28">BI14/BH14*100</f>
        <v>#DIV/0!</v>
      </c>
      <c r="BK14" s="127">
        <f>'Б.Сун'!C42</f>
        <v>1276.86</v>
      </c>
      <c r="BL14" s="127">
        <f>'Б.Сун'!D42</f>
        <v>855.566</v>
      </c>
      <c r="BM14" s="127">
        <f t="shared" si="2"/>
        <v>67.0054665350939</v>
      </c>
      <c r="BN14" s="127">
        <f>'Б.Сун'!C43</f>
        <v>113.746</v>
      </c>
      <c r="BO14" s="127">
        <f>'Б.Сун'!D43</f>
        <v>113.697</v>
      </c>
      <c r="BP14" s="127">
        <f t="shared" si="3"/>
        <v>99.95692156207691</v>
      </c>
      <c r="BQ14" s="127"/>
      <c r="BR14" s="127"/>
      <c r="BS14" s="127" t="e">
        <f t="shared" si="4"/>
        <v>#DIV/0!</v>
      </c>
      <c r="BT14" s="129"/>
      <c r="BU14" s="129"/>
      <c r="BV14" s="127" t="e">
        <f aca="true" t="shared" si="31" ref="BV14:BV28">BU14/BT14*100</f>
        <v>#DIV/0!</v>
      </c>
      <c r="BW14" s="127"/>
      <c r="BX14" s="127"/>
      <c r="BY14" s="127"/>
      <c r="BZ14" s="129">
        <f t="shared" si="5"/>
        <v>6618.55</v>
      </c>
      <c r="CA14" s="129">
        <f t="shared" si="6"/>
        <v>4791.29814</v>
      </c>
      <c r="CB14" s="127">
        <f aca="true" t="shared" si="32" ref="CB14:CB28">CA14/BZ14*100</f>
        <v>72.39196107908832</v>
      </c>
      <c r="CC14" s="129">
        <f aca="true" t="shared" si="33" ref="CC14:CD28">CF14+CL14+CI14+CO14</f>
        <v>1155.85875</v>
      </c>
      <c r="CD14" s="129">
        <f t="shared" si="33"/>
        <v>942.50722</v>
      </c>
      <c r="CE14" s="127">
        <f aca="true" t="shared" si="34" ref="CE14:CE28">CD14/CC14*100</f>
        <v>81.54172990428111</v>
      </c>
      <c r="CF14" s="127">
        <f>'Б.Сун'!C53</f>
        <v>1115.96</v>
      </c>
      <c r="CG14" s="127">
        <f>'Б.Сун'!D53</f>
        <v>916.20722</v>
      </c>
      <c r="CH14" s="127">
        <f aca="true" t="shared" si="35" ref="CH14:CH28">CG14/CF14*100</f>
        <v>82.10036381232302</v>
      </c>
      <c r="CI14" s="127">
        <f>'Б.Сун'!C54</f>
        <v>26.3</v>
      </c>
      <c r="CJ14" s="127">
        <f>'Б.Сун'!D54</f>
        <v>26.3</v>
      </c>
      <c r="CK14" s="127">
        <f aca="true" t="shared" si="36" ref="CK14:CK28">CJ14/CI14*100</f>
        <v>100</v>
      </c>
      <c r="CL14" s="127">
        <f>'Б.Сун'!C55</f>
        <v>13.59875</v>
      </c>
      <c r="CM14" s="127"/>
      <c r="CN14" s="127">
        <f aca="true" t="shared" si="37" ref="CN14:CN28">CM14/CL14*100</f>
        <v>0</v>
      </c>
      <c r="CO14" s="127"/>
      <c r="CP14" s="127"/>
      <c r="CQ14" s="127" t="e">
        <f aca="true" t="shared" si="38" ref="CQ14:CQ28">CP14/CO14*100</f>
        <v>#DIV/0!</v>
      </c>
      <c r="CR14" s="127">
        <f>'Б.Сун'!C56</f>
        <v>113.57</v>
      </c>
      <c r="CS14" s="127">
        <f>'Б.Сун'!D56</f>
        <v>88.0647</v>
      </c>
      <c r="CT14" s="127">
        <f aca="true" t="shared" si="39" ref="CT14:CT30">CS14/CR14*100</f>
        <v>77.54222065686362</v>
      </c>
      <c r="CU14" s="127">
        <f>'Б.Сун'!C58</f>
        <v>200.00125</v>
      </c>
      <c r="CV14" s="127">
        <f>'Б.Сун'!D58</f>
        <v>141.9489</v>
      </c>
      <c r="CW14" s="127">
        <f aca="true" t="shared" si="40" ref="CW14:CW30">CV14/CU14*100</f>
        <v>70.97400641245993</v>
      </c>
      <c r="CX14" s="129">
        <f>'Б.Сун'!C62</f>
        <v>328.516</v>
      </c>
      <c r="CY14" s="129">
        <f>'Б.Сун'!D62</f>
        <v>258.418</v>
      </c>
      <c r="CZ14" s="127">
        <f aca="true" t="shared" si="41" ref="CZ14:CZ28">CY14/CX14*100</f>
        <v>78.66222649733955</v>
      </c>
      <c r="DA14" s="129">
        <f>'Б.Сун'!C66</f>
        <v>1211.3</v>
      </c>
      <c r="DB14" s="129">
        <f>'Б.Сун'!D66</f>
        <v>926.78604</v>
      </c>
      <c r="DC14" s="127">
        <f aca="true" t="shared" si="42" ref="DC14:DC28">DB14/DA14*100</f>
        <v>76.51168496656486</v>
      </c>
      <c r="DD14" s="129">
        <f>'Б.Сун'!C77</f>
        <v>2198.9</v>
      </c>
      <c r="DE14" s="129">
        <f>'Б.Сун'!D77</f>
        <v>1533.12928</v>
      </c>
      <c r="DF14" s="127">
        <f t="shared" si="7"/>
        <v>69.72255582336622</v>
      </c>
      <c r="DG14" s="127">
        <f>'Б.Сун'!C85</f>
        <v>925.56</v>
      </c>
      <c r="DH14" s="127">
        <f>'Б.Сун'!D85</f>
        <v>415.6</v>
      </c>
      <c r="DI14" s="127">
        <f t="shared" si="8"/>
        <v>44.90254548597606</v>
      </c>
      <c r="DJ14" s="128">
        <f>'Б.Сун'!C89</f>
        <v>19</v>
      </c>
      <c r="DK14" s="128">
        <f>'Б.Сун'!D89</f>
        <v>19</v>
      </c>
      <c r="DL14" s="127">
        <f aca="true" t="shared" si="43" ref="DL14:DL28">DK14/DJ14*100</f>
        <v>100</v>
      </c>
      <c r="DM14" s="127">
        <f>'Б.Сун'!C99</f>
        <v>465.844</v>
      </c>
      <c r="DN14" s="127">
        <f>'Б.Сун'!D99</f>
        <v>465.844</v>
      </c>
      <c r="DO14" s="119">
        <f>DN14/DM14*100</f>
        <v>100</v>
      </c>
      <c r="DP14" s="131">
        <f t="shared" si="9"/>
        <v>622.9440000000004</v>
      </c>
      <c r="DQ14" s="131">
        <f t="shared" si="10"/>
        <v>-177.45006999999987</v>
      </c>
      <c r="DR14" s="119">
        <f aca="true" t="shared" si="44" ref="DR14:DR28">DQ14/DP14*100</f>
        <v>-28.485717817331857</v>
      </c>
    </row>
    <row r="15" spans="1:122" s="112" customFormat="1" ht="15" customHeight="1">
      <c r="A15" s="115">
        <v>3</v>
      </c>
      <c r="B15" s="116" t="s">
        <v>215</v>
      </c>
      <c r="C15" s="117">
        <f t="shared" si="11"/>
        <v>4408.07</v>
      </c>
      <c r="D15" s="133">
        <f>G15+BC15+BU15</f>
        <v>3676.79712</v>
      </c>
      <c r="E15" s="119">
        <f t="shared" si="1"/>
        <v>83.41058830735447</v>
      </c>
      <c r="F15" s="120">
        <f t="shared" si="12"/>
        <v>578.5</v>
      </c>
      <c r="G15" s="120">
        <f t="shared" si="13"/>
        <v>431.41512000000006</v>
      </c>
      <c r="H15" s="119">
        <f t="shared" si="14"/>
        <v>74.57478305963701</v>
      </c>
      <c r="I15" s="121">
        <f>Иль!C7</f>
        <v>132.7</v>
      </c>
      <c r="J15" s="121">
        <f>Иль!D7</f>
        <v>122.22184</v>
      </c>
      <c r="K15" s="119">
        <f t="shared" si="15"/>
        <v>92.10387339864357</v>
      </c>
      <c r="L15" s="121">
        <f>Иль!C9</f>
        <v>0.9</v>
      </c>
      <c r="M15" s="121">
        <f>Иль!D9</f>
        <v>0.4746</v>
      </c>
      <c r="N15" s="119">
        <f t="shared" si="16"/>
        <v>52.733333333333334</v>
      </c>
      <c r="O15" s="121">
        <f>Иль!C12</f>
        <v>24.8</v>
      </c>
      <c r="P15" s="121">
        <f>Иль!D12</f>
        <v>11.90887</v>
      </c>
      <c r="Q15" s="119">
        <f t="shared" si="17"/>
        <v>48.01963709677419</v>
      </c>
      <c r="R15" s="121">
        <f>Иль!C11</f>
        <v>194.1</v>
      </c>
      <c r="S15" s="121">
        <f>Иль!D11</f>
        <v>132.12941</v>
      </c>
      <c r="T15" s="119">
        <f t="shared" si="18"/>
        <v>68.07285419886657</v>
      </c>
      <c r="U15" s="119">
        <f>Иль!C17</f>
        <v>21</v>
      </c>
      <c r="V15" s="119">
        <f>Иль!D17</f>
        <v>24.94</v>
      </c>
      <c r="W15" s="119">
        <f t="shared" si="19"/>
        <v>118.76190476190476</v>
      </c>
      <c r="X15" s="121">
        <f>Иль!C21</f>
        <v>112</v>
      </c>
      <c r="Y15" s="121">
        <f>Иль!D21</f>
        <v>97.13487</v>
      </c>
      <c r="Z15" s="119">
        <f t="shared" si="20"/>
        <v>86.7275625</v>
      </c>
      <c r="AA15" s="121"/>
      <c r="AB15" s="121"/>
      <c r="AC15" s="119" t="e">
        <f t="shared" si="21"/>
        <v>#DIV/0!</v>
      </c>
      <c r="AD15" s="121">
        <f>Иль!C22</f>
        <v>22</v>
      </c>
      <c r="AE15" s="121">
        <f>Иль!D22</f>
        <v>21.0024</v>
      </c>
      <c r="AF15" s="119">
        <f t="shared" si="22"/>
        <v>95.46545454545455</v>
      </c>
      <c r="AG15" s="121"/>
      <c r="AH15" s="121">
        <f>Иль!D19</f>
        <v>0</v>
      </c>
      <c r="AI15" s="119" t="e">
        <f t="shared" si="23"/>
        <v>#DIV/0!</v>
      </c>
      <c r="AJ15" s="119">
        <f>Иль!C25</f>
        <v>70</v>
      </c>
      <c r="AK15" s="119">
        <f>Иль!D25</f>
        <v>20.09313</v>
      </c>
      <c r="AL15" s="119">
        <f t="shared" si="24"/>
        <v>28.704471428571427</v>
      </c>
      <c r="AM15" s="119">
        <f>Иль!C34</f>
        <v>1</v>
      </c>
      <c r="AN15" s="119">
        <f>Иль!D34</f>
        <v>1.51</v>
      </c>
      <c r="AO15" s="119">
        <f t="shared" si="25"/>
        <v>151</v>
      </c>
      <c r="AP15" s="119"/>
      <c r="AQ15" s="119"/>
      <c r="AR15" s="119"/>
      <c r="AS15" s="119"/>
      <c r="AT15" s="119"/>
      <c r="AU15" s="119" t="e">
        <f t="shared" si="26"/>
        <v>#DIV/0!</v>
      </c>
      <c r="AV15" s="119"/>
      <c r="AW15" s="119"/>
      <c r="AX15" s="122" t="e">
        <f t="shared" si="27"/>
        <v>#DIV/0!</v>
      </c>
      <c r="AY15" s="122"/>
      <c r="AZ15" s="122"/>
      <c r="BA15" s="122" t="e">
        <f t="shared" si="28"/>
        <v>#DIV/0!</v>
      </c>
      <c r="BB15" s="121">
        <f>BE15+BH15+BK15+BN15+BQ15+BW15</f>
        <v>3829.57</v>
      </c>
      <c r="BC15" s="121">
        <f>BF15+BI15+BL15+BO15+BR15+BX15</f>
        <v>3245.382</v>
      </c>
      <c r="BD15" s="119">
        <f>BC15/BB15*100</f>
        <v>84.74533694383443</v>
      </c>
      <c r="BE15" s="123">
        <f>Иль!C40</f>
        <v>2320.3</v>
      </c>
      <c r="BF15" s="123">
        <f>Иль!D40</f>
        <v>1896.18</v>
      </c>
      <c r="BG15" s="119">
        <f t="shared" si="29"/>
        <v>81.72132913847346</v>
      </c>
      <c r="BH15" s="119">
        <f>Иль!C41</f>
        <v>554.5</v>
      </c>
      <c r="BI15" s="119">
        <f>Иль!D41</f>
        <v>462.1</v>
      </c>
      <c r="BJ15" s="119">
        <f t="shared" si="30"/>
        <v>83.33633904418394</v>
      </c>
      <c r="BK15" s="119">
        <f>Иль!C42</f>
        <v>221.1</v>
      </c>
      <c r="BL15" s="119">
        <f>Иль!D42</f>
        <v>153.464</v>
      </c>
      <c r="BM15" s="119">
        <f t="shared" si="2"/>
        <v>69.4093170511081</v>
      </c>
      <c r="BN15" s="119">
        <f>Иль!C43</f>
        <v>113.67</v>
      </c>
      <c r="BO15" s="119">
        <f>Иль!D43</f>
        <v>113.638</v>
      </c>
      <c r="BP15" s="119">
        <f t="shared" si="3"/>
        <v>99.97184833289346</v>
      </c>
      <c r="BQ15" s="119"/>
      <c r="BR15" s="119"/>
      <c r="BS15" s="119" t="e">
        <f t="shared" si="4"/>
        <v>#DIV/0!</v>
      </c>
      <c r="BT15" s="121"/>
      <c r="BU15" s="121"/>
      <c r="BV15" s="119" t="e">
        <f t="shared" si="31"/>
        <v>#DIV/0!</v>
      </c>
      <c r="BW15" s="119">
        <f>Иль!C46</f>
        <v>620</v>
      </c>
      <c r="BX15" s="119">
        <f>Иль!D46</f>
        <v>620</v>
      </c>
      <c r="BY15" s="119">
        <v>0</v>
      </c>
      <c r="BZ15" s="121">
        <f t="shared" si="5"/>
        <v>4408.07</v>
      </c>
      <c r="CA15" s="121">
        <f t="shared" si="6"/>
        <v>3162.99687</v>
      </c>
      <c r="CB15" s="119">
        <f t="shared" si="32"/>
        <v>71.75468787927596</v>
      </c>
      <c r="CC15" s="121">
        <f t="shared" si="33"/>
        <v>895.6099999999999</v>
      </c>
      <c r="CD15" s="121">
        <f t="shared" si="33"/>
        <v>657.95606</v>
      </c>
      <c r="CE15" s="119">
        <f t="shared" si="34"/>
        <v>73.46457274929936</v>
      </c>
      <c r="CF15" s="119">
        <f>Иль!C54</f>
        <v>859.31</v>
      </c>
      <c r="CG15" s="119">
        <f>Иль!D54</f>
        <v>631.65606</v>
      </c>
      <c r="CH15" s="119">
        <f t="shared" si="35"/>
        <v>73.50735590182822</v>
      </c>
      <c r="CI15" s="119">
        <f>Иль!C55</f>
        <v>26.3</v>
      </c>
      <c r="CJ15" s="119">
        <f>Иль!D55</f>
        <v>26.3</v>
      </c>
      <c r="CK15" s="119">
        <f t="shared" si="36"/>
        <v>100</v>
      </c>
      <c r="CL15" s="119">
        <f>Иль!C56</f>
        <v>10</v>
      </c>
      <c r="CM15" s="119"/>
      <c r="CN15" s="119">
        <f t="shared" si="37"/>
        <v>0</v>
      </c>
      <c r="CO15" s="119"/>
      <c r="CP15" s="119"/>
      <c r="CQ15" s="119" t="e">
        <f t="shared" si="38"/>
        <v>#DIV/0!</v>
      </c>
      <c r="CR15" s="119">
        <f>Иль!C57</f>
        <v>113.56</v>
      </c>
      <c r="CS15" s="119">
        <f>Иль!D57</f>
        <v>69.89301</v>
      </c>
      <c r="CT15" s="119">
        <f t="shared" si="39"/>
        <v>61.547208524128216</v>
      </c>
      <c r="CU15" s="119">
        <f>Иль!C59</f>
        <v>12.488</v>
      </c>
      <c r="CV15" s="119">
        <f>Иль!D59</f>
        <v>12.488</v>
      </c>
      <c r="CW15" s="119">
        <f t="shared" si="40"/>
        <v>100</v>
      </c>
      <c r="CX15" s="121">
        <f>Иль!C63</f>
        <v>14.45938</v>
      </c>
      <c r="CY15" s="121">
        <f>Иль!D63</f>
        <v>14.45938</v>
      </c>
      <c r="CZ15" s="119">
        <f t="shared" si="41"/>
        <v>100</v>
      </c>
      <c r="DA15" s="121">
        <f>Иль!C67</f>
        <v>739.37062</v>
      </c>
      <c r="DB15" s="121">
        <f>Иль!D67</f>
        <v>523.77201</v>
      </c>
      <c r="DC15" s="119">
        <f t="shared" si="42"/>
        <v>70.84025194292951</v>
      </c>
      <c r="DD15" s="121">
        <f>Иль!C78</f>
        <v>2620.582</v>
      </c>
      <c r="DE15" s="121">
        <f>Иль!D78</f>
        <v>1875.65541</v>
      </c>
      <c r="DF15" s="119">
        <f t="shared" si="7"/>
        <v>71.57400188202469</v>
      </c>
      <c r="DG15" s="119">
        <f>Иль!C86</f>
        <v>0</v>
      </c>
      <c r="DH15" s="119">
        <f>Иль!D86</f>
        <v>0</v>
      </c>
      <c r="DI15" s="119" t="e">
        <f t="shared" si="8"/>
        <v>#DIV/0!</v>
      </c>
      <c r="DJ15" s="120">
        <f>Иль!C90</f>
        <v>12</v>
      </c>
      <c r="DK15" s="120">
        <f>Иль!D90</f>
        <v>8.773</v>
      </c>
      <c r="DL15" s="119">
        <f t="shared" si="43"/>
        <v>73.10833333333333</v>
      </c>
      <c r="DM15" s="119">
        <f>Иль!C100</f>
        <v>0</v>
      </c>
      <c r="DN15" s="119">
        <f>Иль!D100</f>
        <v>0</v>
      </c>
      <c r="DO15" s="119" t="e">
        <f aca="true" t="shared" si="45" ref="DO15:DO28">DN15/DM15*100</f>
        <v>#DIV/0!</v>
      </c>
      <c r="DP15" s="124">
        <f t="shared" si="9"/>
        <v>0</v>
      </c>
      <c r="DQ15" s="124">
        <f t="shared" si="10"/>
        <v>-513.8002500000002</v>
      </c>
      <c r="DR15" s="119" t="e">
        <f t="shared" si="44"/>
        <v>#DIV/0!</v>
      </c>
    </row>
    <row r="16" spans="1:122" s="112" customFormat="1" ht="15" customHeight="1">
      <c r="A16" s="115">
        <v>4</v>
      </c>
      <c r="B16" s="116" t="s">
        <v>216</v>
      </c>
      <c r="C16" s="117">
        <f t="shared" si="11"/>
        <v>6973.703</v>
      </c>
      <c r="D16" s="133">
        <f t="shared" si="0"/>
        <v>7062.35948</v>
      </c>
      <c r="E16" s="119">
        <f t="shared" si="1"/>
        <v>101.27129704261853</v>
      </c>
      <c r="F16" s="120">
        <f t="shared" si="12"/>
        <v>1590.1999999999998</v>
      </c>
      <c r="G16" s="120">
        <f t="shared" si="13"/>
        <v>2292.38548</v>
      </c>
      <c r="H16" s="119">
        <f t="shared" si="14"/>
        <v>144.1570544585587</v>
      </c>
      <c r="I16" s="121">
        <f>Кад!C7</f>
        <v>849.3</v>
      </c>
      <c r="J16" s="121">
        <f>Кад!D7</f>
        <v>669.54653</v>
      </c>
      <c r="K16" s="119">
        <f t="shared" si="15"/>
        <v>78.83510302602143</v>
      </c>
      <c r="L16" s="121">
        <f>Кад!C9</f>
        <v>30</v>
      </c>
      <c r="M16" s="121">
        <f>Кад!D9</f>
        <v>15.40787</v>
      </c>
      <c r="N16" s="119">
        <f t="shared" si="16"/>
        <v>51.359566666666666</v>
      </c>
      <c r="O16" s="121">
        <f>Кад!C12</f>
        <v>42.9</v>
      </c>
      <c r="P16" s="121">
        <f>Кад!D12</f>
        <v>15.42074</v>
      </c>
      <c r="Q16" s="119">
        <f t="shared" si="17"/>
        <v>35.945780885780884</v>
      </c>
      <c r="R16" s="121">
        <f>Кад!C11</f>
        <v>314.9</v>
      </c>
      <c r="S16" s="121">
        <f>Кад!D11</f>
        <v>325.17393</v>
      </c>
      <c r="T16" s="119">
        <f t="shared" si="18"/>
        <v>103.26260082565895</v>
      </c>
      <c r="U16" s="119">
        <f>Кад!C17</f>
        <v>11.1</v>
      </c>
      <c r="V16" s="119">
        <f>Кад!D17</f>
        <v>7.8</v>
      </c>
      <c r="W16" s="119">
        <f t="shared" si="19"/>
        <v>70.27027027027027</v>
      </c>
      <c r="X16" s="121">
        <f>Кад!C21</f>
        <v>270</v>
      </c>
      <c r="Y16" s="121">
        <f>Кад!D21</f>
        <v>251.26969</v>
      </c>
      <c r="Z16" s="119">
        <f t="shared" si="20"/>
        <v>93.06284814814815</v>
      </c>
      <c r="AA16" s="121"/>
      <c r="AB16" s="121"/>
      <c r="AC16" s="119" t="e">
        <f t="shared" si="21"/>
        <v>#DIV/0!</v>
      </c>
      <c r="AD16" s="121">
        <f>Кад!C22</f>
        <v>0</v>
      </c>
      <c r="AE16" s="121">
        <f>Кад!D22</f>
        <v>2.0691</v>
      </c>
      <c r="AF16" s="119" t="e">
        <f t="shared" si="22"/>
        <v>#DIV/0!</v>
      </c>
      <c r="AG16" s="121"/>
      <c r="AH16" s="121">
        <f>Кад!D19</f>
        <v>0</v>
      </c>
      <c r="AI16" s="119" t="e">
        <f t="shared" si="23"/>
        <v>#DIV/0!</v>
      </c>
      <c r="AJ16" s="119">
        <f>Кад!C25</f>
        <v>70</v>
      </c>
      <c r="AK16" s="119">
        <f>Кад!D25</f>
        <v>996.19762</v>
      </c>
      <c r="AL16" s="119">
        <f t="shared" si="24"/>
        <v>1423.1394571428573</v>
      </c>
      <c r="AM16" s="127">
        <f>Кад!C34</f>
        <v>2</v>
      </c>
      <c r="AN16" s="127">
        <f>Кад!D34</f>
        <v>0</v>
      </c>
      <c r="AO16" s="119">
        <f t="shared" si="25"/>
        <v>0</v>
      </c>
      <c r="AP16" s="119"/>
      <c r="AQ16" s="119"/>
      <c r="AR16" s="119"/>
      <c r="AS16" s="119"/>
      <c r="AT16" s="119">
        <f>Кад!D36</f>
        <v>9.5</v>
      </c>
      <c r="AU16" s="119" t="e">
        <f t="shared" si="26"/>
        <v>#DIV/0!</v>
      </c>
      <c r="AV16" s="119"/>
      <c r="AW16" s="119"/>
      <c r="AX16" s="122" t="e">
        <f t="shared" si="27"/>
        <v>#DIV/0!</v>
      </c>
      <c r="AY16" s="122"/>
      <c r="AZ16" s="122"/>
      <c r="BA16" s="122" t="e">
        <f t="shared" si="28"/>
        <v>#DIV/0!</v>
      </c>
      <c r="BB16" s="121">
        <f aca="true" t="shared" si="46" ref="BB16:BB28">BE16+BH16+BK16+BN16+BQ16</f>
        <v>5383.503000000001</v>
      </c>
      <c r="BC16" s="121">
        <f aca="true" t="shared" si="47" ref="BC16:BC28">BF16+BI16+BL16+BO16+BR16</f>
        <v>4769.974</v>
      </c>
      <c r="BD16" s="119">
        <f>BC16/BB16*100</f>
        <v>88.60353565327259</v>
      </c>
      <c r="BE16" s="123">
        <f>Кад!C40</f>
        <v>2150.8</v>
      </c>
      <c r="BF16" s="123">
        <f>Кад!D40</f>
        <v>1746.51</v>
      </c>
      <c r="BG16" s="119">
        <f t="shared" si="29"/>
        <v>81.20280825739259</v>
      </c>
      <c r="BH16" s="119"/>
      <c r="BI16" s="119"/>
      <c r="BJ16" s="119" t="e">
        <f t="shared" si="30"/>
        <v>#DIV/0!</v>
      </c>
      <c r="BK16" s="119">
        <f>Кад!C42</f>
        <v>284.2</v>
      </c>
      <c r="BL16" s="119">
        <f>Кад!D42</f>
        <v>75</v>
      </c>
      <c r="BM16" s="119">
        <f t="shared" si="2"/>
        <v>26.389866291344127</v>
      </c>
      <c r="BN16" s="119">
        <f>Кад!C43</f>
        <v>2948.503</v>
      </c>
      <c r="BO16" s="119">
        <f>Кад!D43</f>
        <v>2948.464</v>
      </c>
      <c r="BP16" s="119">
        <f t="shared" si="3"/>
        <v>99.99867729488489</v>
      </c>
      <c r="BQ16" s="119"/>
      <c r="BR16" s="119"/>
      <c r="BS16" s="119" t="e">
        <f t="shared" si="4"/>
        <v>#DIV/0!</v>
      </c>
      <c r="BT16" s="121"/>
      <c r="BU16" s="121"/>
      <c r="BV16" s="119" t="e">
        <f t="shared" si="31"/>
        <v>#DIV/0!</v>
      </c>
      <c r="BW16" s="119"/>
      <c r="BX16" s="119"/>
      <c r="BY16" s="119"/>
      <c r="BZ16" s="121">
        <f t="shared" si="5"/>
        <v>7518.703</v>
      </c>
      <c r="CA16" s="121">
        <f t="shared" si="6"/>
        <v>3053.64504</v>
      </c>
      <c r="CB16" s="119">
        <f t="shared" si="32"/>
        <v>40.61398674744833</v>
      </c>
      <c r="CC16" s="121">
        <f t="shared" si="33"/>
        <v>798.8417499999999</v>
      </c>
      <c r="CD16" s="121">
        <f t="shared" si="33"/>
        <v>592.88906</v>
      </c>
      <c r="CE16" s="119">
        <f t="shared" si="34"/>
        <v>74.21858709813301</v>
      </c>
      <c r="CF16" s="119">
        <f>Кад!C53</f>
        <v>763.943</v>
      </c>
      <c r="CG16" s="119">
        <f>Кад!D53</f>
        <v>566.58906</v>
      </c>
      <c r="CH16" s="119">
        <f t="shared" si="35"/>
        <v>74.16640508519615</v>
      </c>
      <c r="CI16" s="119">
        <f>Кад!C54</f>
        <v>26.3</v>
      </c>
      <c r="CJ16" s="119">
        <f>Кад!D54</f>
        <v>26.3</v>
      </c>
      <c r="CK16" s="119">
        <f t="shared" si="36"/>
        <v>100</v>
      </c>
      <c r="CL16" s="119">
        <f>Кад!C55</f>
        <v>8.59875</v>
      </c>
      <c r="CM16" s="119"/>
      <c r="CN16" s="119">
        <f t="shared" si="37"/>
        <v>0</v>
      </c>
      <c r="CO16" s="119"/>
      <c r="CP16" s="119"/>
      <c r="CQ16" s="119" t="e">
        <f t="shared" si="38"/>
        <v>#DIV/0!</v>
      </c>
      <c r="CR16" s="119">
        <f>Кад!C56</f>
        <v>113.56</v>
      </c>
      <c r="CS16" s="119">
        <f>Кад!D56</f>
        <v>71.38417</v>
      </c>
      <c r="CT16" s="119">
        <f t="shared" si="39"/>
        <v>62.86031172948221</v>
      </c>
      <c r="CU16" s="119">
        <f>Кад!C58</f>
        <v>26.30125</v>
      </c>
      <c r="CV16" s="119">
        <f>Кад!D58</f>
        <v>0</v>
      </c>
      <c r="CW16" s="119">
        <f t="shared" si="40"/>
        <v>0</v>
      </c>
      <c r="CX16" s="121">
        <f>Кад!C62</f>
        <v>70</v>
      </c>
      <c r="CY16" s="121">
        <f>Кад!D62</f>
        <v>65.111</v>
      </c>
      <c r="CZ16" s="119">
        <f t="shared" si="41"/>
        <v>93.0157142857143</v>
      </c>
      <c r="DA16" s="121">
        <f>Кад!C66</f>
        <v>3978.1000000000004</v>
      </c>
      <c r="DB16" s="121">
        <f>Кад!D66</f>
        <v>645.61387</v>
      </c>
      <c r="DC16" s="119">
        <f t="shared" si="42"/>
        <v>16.22920162891833</v>
      </c>
      <c r="DD16" s="129">
        <f>Кад!C77</f>
        <v>2291.6</v>
      </c>
      <c r="DE16" s="129">
        <f>Кад!D77</f>
        <v>1507.12194</v>
      </c>
      <c r="DF16" s="119">
        <f t="shared" si="7"/>
        <v>65.76723424681445</v>
      </c>
      <c r="DG16" s="119">
        <f>Кад!C85</f>
        <v>0</v>
      </c>
      <c r="DH16" s="119">
        <f>Кад!D85</f>
        <v>0</v>
      </c>
      <c r="DI16" s="119" t="e">
        <f t="shared" si="8"/>
        <v>#DIV/0!</v>
      </c>
      <c r="DJ16" s="120">
        <f>Кад!C89</f>
        <v>15.6</v>
      </c>
      <c r="DK16" s="120">
        <f>Кад!D89</f>
        <v>3</v>
      </c>
      <c r="DL16" s="119">
        <f t="shared" si="43"/>
        <v>19.230769230769234</v>
      </c>
      <c r="DM16" s="119">
        <f>Кад!C99</f>
        <v>224.7</v>
      </c>
      <c r="DN16" s="119">
        <f>Кад!D99</f>
        <v>168.525</v>
      </c>
      <c r="DO16" s="119">
        <f t="shared" si="45"/>
        <v>75.00000000000001</v>
      </c>
      <c r="DP16" s="124">
        <f t="shared" si="9"/>
        <v>545</v>
      </c>
      <c r="DQ16" s="124">
        <f t="shared" si="10"/>
        <v>-4008.71444</v>
      </c>
      <c r="DR16" s="119">
        <f t="shared" si="44"/>
        <v>-735.5439339449542</v>
      </c>
    </row>
    <row r="17" spans="1:122" s="112" customFormat="1" ht="15" customHeight="1">
      <c r="A17" s="115">
        <v>5</v>
      </c>
      <c r="B17" s="116" t="s">
        <v>217</v>
      </c>
      <c r="C17" s="117">
        <f t="shared" si="11"/>
        <v>9205.419</v>
      </c>
      <c r="D17" s="133">
        <f t="shared" si="0"/>
        <v>7007.65069</v>
      </c>
      <c r="E17" s="119">
        <f t="shared" si="1"/>
        <v>76.1252767527475</v>
      </c>
      <c r="F17" s="120">
        <f t="shared" si="12"/>
        <v>5444.6</v>
      </c>
      <c r="G17" s="120">
        <f t="shared" si="13"/>
        <v>3810.17769</v>
      </c>
      <c r="H17" s="119">
        <f t="shared" si="14"/>
        <v>69.98085607758145</v>
      </c>
      <c r="I17" s="121">
        <f>Мор!C7</f>
        <v>4415.1</v>
      </c>
      <c r="J17" s="121">
        <f>Мор!D7</f>
        <v>3100.47819</v>
      </c>
      <c r="K17" s="119">
        <f t="shared" si="15"/>
        <v>70.22441598151796</v>
      </c>
      <c r="L17" s="121">
        <f>Мор!C9</f>
        <v>10</v>
      </c>
      <c r="M17" s="121">
        <f>Мор!D9</f>
        <v>38.36814</v>
      </c>
      <c r="N17" s="119">
        <f t="shared" si="16"/>
        <v>383.68139999999994</v>
      </c>
      <c r="O17" s="121">
        <f>Мор!C12</f>
        <v>34.3</v>
      </c>
      <c r="P17" s="121">
        <f>Мор!D12</f>
        <v>24.03687</v>
      </c>
      <c r="Q17" s="119">
        <f t="shared" si="17"/>
        <v>70.07833819241984</v>
      </c>
      <c r="R17" s="121">
        <f>Мор!C11</f>
        <v>714.2</v>
      </c>
      <c r="S17" s="121">
        <f>Мор!D11</f>
        <v>505.32056</v>
      </c>
      <c r="T17" s="119">
        <f t="shared" si="18"/>
        <v>70.75336880425651</v>
      </c>
      <c r="U17" s="119">
        <f>Мор!C17</f>
        <v>0</v>
      </c>
      <c r="V17" s="119">
        <f>Мор!D17</f>
        <v>0</v>
      </c>
      <c r="W17" s="119" t="e">
        <f t="shared" si="19"/>
        <v>#DIV/0!</v>
      </c>
      <c r="X17" s="121">
        <f>Мор!C21</f>
        <v>219</v>
      </c>
      <c r="Y17" s="121">
        <f>Мор!D21</f>
        <v>138.67468</v>
      </c>
      <c r="Z17" s="119">
        <f t="shared" si="20"/>
        <v>63.321771689497716</v>
      </c>
      <c r="AA17" s="121"/>
      <c r="AB17" s="121"/>
      <c r="AC17" s="119" t="e">
        <f t="shared" si="21"/>
        <v>#DIV/0!</v>
      </c>
      <c r="AD17" s="121">
        <f>Мор!C22</f>
        <v>0</v>
      </c>
      <c r="AE17" s="121">
        <f>Мор!D22</f>
        <v>0</v>
      </c>
      <c r="AF17" s="119" t="e">
        <f t="shared" si="22"/>
        <v>#DIV/0!</v>
      </c>
      <c r="AG17" s="121"/>
      <c r="AH17" s="121">
        <f>Мор!D19</f>
        <v>0</v>
      </c>
      <c r="AI17" s="119" t="e">
        <f t="shared" si="23"/>
        <v>#DIV/0!</v>
      </c>
      <c r="AJ17" s="119">
        <f>Мор!C25</f>
        <v>50</v>
      </c>
      <c r="AK17" s="119">
        <f>Мор!D25</f>
        <v>3.29925</v>
      </c>
      <c r="AL17" s="119">
        <f t="shared" si="24"/>
        <v>6.5985000000000005</v>
      </c>
      <c r="AM17" s="119">
        <f>Мор!C34</f>
        <v>2</v>
      </c>
      <c r="AN17" s="119">
        <f>Мор!D34</f>
        <v>0</v>
      </c>
      <c r="AO17" s="119">
        <f t="shared" si="25"/>
        <v>0</v>
      </c>
      <c r="AP17" s="119"/>
      <c r="AQ17" s="119"/>
      <c r="AR17" s="119"/>
      <c r="AS17" s="119"/>
      <c r="AT17" s="119">
        <f>Мор!D36</f>
        <v>0</v>
      </c>
      <c r="AU17" s="119" t="e">
        <f t="shared" si="26"/>
        <v>#DIV/0!</v>
      </c>
      <c r="AV17" s="119"/>
      <c r="AW17" s="119"/>
      <c r="AX17" s="122" t="e">
        <f t="shared" si="27"/>
        <v>#DIV/0!</v>
      </c>
      <c r="AY17" s="122"/>
      <c r="AZ17" s="122"/>
      <c r="BA17" s="122" t="e">
        <f t="shared" si="28"/>
        <v>#DIV/0!</v>
      </c>
      <c r="BB17" s="121">
        <f t="shared" si="46"/>
        <v>3760.819</v>
      </c>
      <c r="BC17" s="121">
        <f t="shared" si="47"/>
        <v>3197.473</v>
      </c>
      <c r="BD17" s="119">
        <f aca="true" t="shared" si="48" ref="BD17:BD30">BC17/BB17*100</f>
        <v>85.0206564048948</v>
      </c>
      <c r="BE17" s="123">
        <f>Мор!C40</f>
        <v>0</v>
      </c>
      <c r="BF17" s="123">
        <f>Мор!D40</f>
        <v>0</v>
      </c>
      <c r="BG17" s="119" t="e">
        <f t="shared" si="29"/>
        <v>#DIV/0!</v>
      </c>
      <c r="BH17" s="119"/>
      <c r="BI17" s="119"/>
      <c r="BJ17" s="119" t="e">
        <f t="shared" si="30"/>
        <v>#DIV/0!</v>
      </c>
      <c r="BK17" s="119">
        <f>Мор!C42</f>
        <v>3760.619</v>
      </c>
      <c r="BL17" s="119">
        <f>Мор!D42</f>
        <v>3197.329</v>
      </c>
      <c r="BM17" s="119">
        <f t="shared" si="2"/>
        <v>85.02134887900104</v>
      </c>
      <c r="BN17" s="119">
        <f>Мор!C43</f>
        <v>0.2</v>
      </c>
      <c r="BO17" s="119">
        <f>Мор!D43</f>
        <v>0.144</v>
      </c>
      <c r="BP17" s="119">
        <f t="shared" si="3"/>
        <v>71.99999999999999</v>
      </c>
      <c r="BQ17" s="119"/>
      <c r="BR17" s="119"/>
      <c r="BS17" s="119" t="e">
        <f t="shared" si="4"/>
        <v>#DIV/0!</v>
      </c>
      <c r="BT17" s="121"/>
      <c r="BU17" s="121"/>
      <c r="BV17" s="119" t="e">
        <f t="shared" si="31"/>
        <v>#DIV/0!</v>
      </c>
      <c r="BW17" s="119"/>
      <c r="BX17" s="119"/>
      <c r="BY17" s="119"/>
      <c r="BZ17" s="121">
        <f t="shared" si="5"/>
        <v>10204.609</v>
      </c>
      <c r="CA17" s="121">
        <f t="shared" si="6"/>
        <v>5616.45715</v>
      </c>
      <c r="CB17" s="119">
        <f t="shared" si="32"/>
        <v>55.038435573572684</v>
      </c>
      <c r="CC17" s="121">
        <f t="shared" si="33"/>
        <v>1004.1</v>
      </c>
      <c r="CD17" s="121">
        <f t="shared" si="33"/>
        <v>707.17324</v>
      </c>
      <c r="CE17" s="119">
        <f t="shared" si="34"/>
        <v>70.42856687580917</v>
      </c>
      <c r="CF17" s="119">
        <f>Мор!C53</f>
        <v>994.1</v>
      </c>
      <c r="CG17" s="119">
        <f>Мор!D53</f>
        <v>707.17324</v>
      </c>
      <c r="CH17" s="119">
        <f t="shared" si="35"/>
        <v>71.13703249170104</v>
      </c>
      <c r="CI17" s="119"/>
      <c r="CJ17" s="119"/>
      <c r="CK17" s="119" t="e">
        <f t="shared" si="36"/>
        <v>#DIV/0!</v>
      </c>
      <c r="CL17" s="119">
        <f>Мор!C55</f>
        <v>10</v>
      </c>
      <c r="CM17" s="119"/>
      <c r="CN17" s="119">
        <f t="shared" si="37"/>
        <v>0</v>
      </c>
      <c r="CO17" s="119"/>
      <c r="CP17" s="119"/>
      <c r="CQ17" s="119" t="e">
        <f t="shared" si="38"/>
        <v>#DIV/0!</v>
      </c>
      <c r="CR17" s="119">
        <f>Мор!C56</f>
        <v>0</v>
      </c>
      <c r="CS17" s="119">
        <f>'[1]моргауши'!D57</f>
        <v>0</v>
      </c>
      <c r="CT17" s="119" t="e">
        <f t="shared" si="39"/>
        <v>#DIV/0!</v>
      </c>
      <c r="CU17" s="119">
        <f>Мор!C58</f>
        <v>0</v>
      </c>
      <c r="CV17" s="119">
        <f>Мор!D58</f>
        <v>0</v>
      </c>
      <c r="CW17" s="119" t="e">
        <f t="shared" si="40"/>
        <v>#DIV/0!</v>
      </c>
      <c r="CX17" s="121">
        <f>Мор!C62</f>
        <v>860.12</v>
      </c>
      <c r="CY17" s="121">
        <f>Мор!D62</f>
        <v>0</v>
      </c>
      <c r="CZ17" s="119">
        <f t="shared" si="41"/>
        <v>0</v>
      </c>
      <c r="DA17" s="121">
        <f>Мор!C66</f>
        <v>1471.28</v>
      </c>
      <c r="DB17" s="121">
        <f>Мор!D66</f>
        <v>1167.31565</v>
      </c>
      <c r="DC17" s="119">
        <f t="shared" si="42"/>
        <v>79.34014259692242</v>
      </c>
      <c r="DD17" s="121">
        <f>Мор!C77</f>
        <v>195.2</v>
      </c>
      <c r="DE17" s="121">
        <f>Мор!D77</f>
        <v>117.43826</v>
      </c>
      <c r="DF17" s="119">
        <f t="shared" si="7"/>
        <v>60.16304303278689</v>
      </c>
      <c r="DG17" s="119">
        <f>Мор!C85</f>
        <v>3703.109</v>
      </c>
      <c r="DH17" s="119">
        <f>Мор!D85</f>
        <v>1803.53</v>
      </c>
      <c r="DI17" s="119">
        <f t="shared" si="8"/>
        <v>48.70313026162611</v>
      </c>
      <c r="DJ17" s="120">
        <f>Мор!C89</f>
        <v>21.5</v>
      </c>
      <c r="DK17" s="120">
        <f>Мор!D89</f>
        <v>8.4</v>
      </c>
      <c r="DL17" s="119">
        <f t="shared" si="43"/>
        <v>39.06976744186046</v>
      </c>
      <c r="DM17" s="119">
        <f>Мор!C99</f>
        <v>2949.3</v>
      </c>
      <c r="DN17" s="119">
        <f>Мор!D99</f>
        <v>1812.6</v>
      </c>
      <c r="DO17" s="119">
        <f t="shared" si="45"/>
        <v>61.458651205370764</v>
      </c>
      <c r="DP17" s="124">
        <f t="shared" si="9"/>
        <v>999.1900000000005</v>
      </c>
      <c r="DQ17" s="124">
        <f t="shared" si="10"/>
        <v>-1391.1935400000002</v>
      </c>
      <c r="DR17" s="119">
        <f t="shared" si="44"/>
        <v>-139.23213202694177</v>
      </c>
    </row>
    <row r="18" spans="1:122" s="112" customFormat="1" ht="15" customHeight="1">
      <c r="A18" s="115">
        <v>6</v>
      </c>
      <c r="B18" s="116" t="s">
        <v>218</v>
      </c>
      <c r="C18" s="117">
        <f t="shared" si="11"/>
        <v>12252.206000000002</v>
      </c>
      <c r="D18" s="133">
        <f t="shared" si="0"/>
        <v>11567.56266</v>
      </c>
      <c r="E18" s="119">
        <f t="shared" si="1"/>
        <v>94.41208105707656</v>
      </c>
      <c r="F18" s="120">
        <f t="shared" si="12"/>
        <v>2569.2000000000003</v>
      </c>
      <c r="G18" s="120">
        <f t="shared" si="13"/>
        <v>3360.35666</v>
      </c>
      <c r="H18" s="119">
        <f t="shared" si="14"/>
        <v>130.79389148373033</v>
      </c>
      <c r="I18" s="121">
        <f>Мос!C7</f>
        <v>1649.4</v>
      </c>
      <c r="J18" s="121">
        <f>Мос!D7</f>
        <v>1465.73718</v>
      </c>
      <c r="K18" s="119">
        <f t="shared" si="15"/>
        <v>88.86487086213168</v>
      </c>
      <c r="L18" s="121">
        <f>Мос!C9</f>
        <v>10</v>
      </c>
      <c r="M18" s="121">
        <f>Мос!D9</f>
        <v>0.6994</v>
      </c>
      <c r="N18" s="119">
        <f t="shared" si="16"/>
        <v>6.994</v>
      </c>
      <c r="O18" s="121">
        <f>Мос!C12</f>
        <v>14</v>
      </c>
      <c r="P18" s="121">
        <f>Мос!D12</f>
        <v>17.68114</v>
      </c>
      <c r="Q18" s="119">
        <f t="shared" si="17"/>
        <v>126.29385714285715</v>
      </c>
      <c r="R18" s="129">
        <f>Мос!C11</f>
        <v>371.7</v>
      </c>
      <c r="S18" s="199">
        <f>Мос!D11</f>
        <v>359.88231</v>
      </c>
      <c r="T18" s="119">
        <f t="shared" si="18"/>
        <v>96.8206376109766</v>
      </c>
      <c r="U18" s="119">
        <f>Мос!C17</f>
        <v>12.1</v>
      </c>
      <c r="V18" s="119">
        <f>Мос!D17</f>
        <v>7.42</v>
      </c>
      <c r="W18" s="119">
        <f t="shared" si="19"/>
        <v>61.32231404958678</v>
      </c>
      <c r="X18" s="121">
        <f>Мос!C21</f>
        <v>450</v>
      </c>
      <c r="Y18" s="121">
        <f>Мос!D21</f>
        <v>898.43865</v>
      </c>
      <c r="Z18" s="119">
        <f t="shared" si="20"/>
        <v>199.65303333333335</v>
      </c>
      <c r="AA18" s="121"/>
      <c r="AB18" s="121"/>
      <c r="AC18" s="119" t="e">
        <f t="shared" si="21"/>
        <v>#DIV/0!</v>
      </c>
      <c r="AD18" s="121">
        <f>Мос!C22</f>
        <v>0</v>
      </c>
      <c r="AE18" s="121">
        <f>Мос!D22</f>
        <v>3.8875</v>
      </c>
      <c r="AF18" s="119" t="e">
        <f t="shared" si="22"/>
        <v>#DIV/0!</v>
      </c>
      <c r="AG18" s="121"/>
      <c r="AH18" s="121">
        <f>Мос!D19</f>
        <v>0</v>
      </c>
      <c r="AI18" s="119" t="e">
        <f t="shared" si="23"/>
        <v>#DIV/0!</v>
      </c>
      <c r="AJ18" s="119">
        <f>Мос!C25</f>
        <v>60</v>
      </c>
      <c r="AK18" s="119">
        <f>Мос!D25</f>
        <v>584.12048</v>
      </c>
      <c r="AL18" s="119">
        <f t="shared" si="24"/>
        <v>973.5341333333334</v>
      </c>
      <c r="AM18" s="127">
        <f>Мос!C34</f>
        <v>2</v>
      </c>
      <c r="AN18" s="127">
        <f>Мос!D34</f>
        <v>0</v>
      </c>
      <c r="AO18" s="119">
        <f t="shared" si="25"/>
        <v>0</v>
      </c>
      <c r="AP18" s="119"/>
      <c r="AQ18" s="119">
        <f>Мос!D35</f>
        <v>22.49</v>
      </c>
      <c r="AR18" s="119"/>
      <c r="AS18" s="119"/>
      <c r="AT18" s="119">
        <f>Мос!D36</f>
        <v>0</v>
      </c>
      <c r="AU18" s="119" t="e">
        <f t="shared" si="26"/>
        <v>#DIV/0!</v>
      </c>
      <c r="AV18" s="119"/>
      <c r="AW18" s="119"/>
      <c r="AX18" s="122" t="e">
        <f t="shared" si="27"/>
        <v>#DIV/0!</v>
      </c>
      <c r="AY18" s="122"/>
      <c r="AZ18" s="122"/>
      <c r="BA18" s="122" t="e">
        <f t="shared" si="28"/>
        <v>#DIV/0!</v>
      </c>
      <c r="BB18" s="121">
        <f t="shared" si="46"/>
        <v>9683.006000000001</v>
      </c>
      <c r="BC18" s="121">
        <f t="shared" si="47"/>
        <v>8207.206</v>
      </c>
      <c r="BD18" s="119">
        <f t="shared" si="48"/>
        <v>84.75886517058855</v>
      </c>
      <c r="BE18" s="123">
        <f>Мос!C40</f>
        <v>2102.8</v>
      </c>
      <c r="BF18" s="123">
        <f>Мос!D40</f>
        <v>1711.67</v>
      </c>
      <c r="BG18" s="119">
        <f t="shared" si="29"/>
        <v>81.39956248811109</v>
      </c>
      <c r="BH18" s="119"/>
      <c r="BI18" s="119"/>
      <c r="BJ18" s="119" t="e">
        <f t="shared" si="30"/>
        <v>#DIV/0!</v>
      </c>
      <c r="BK18" s="119">
        <f>Мос!C42</f>
        <v>7466.51</v>
      </c>
      <c r="BL18" s="119">
        <f>Мос!D42</f>
        <v>6381.875</v>
      </c>
      <c r="BM18" s="119">
        <f t="shared" si="2"/>
        <v>85.47333359226734</v>
      </c>
      <c r="BN18" s="119">
        <f>Мос!C43</f>
        <v>113.696</v>
      </c>
      <c r="BO18" s="119">
        <f>Мос!D43</f>
        <v>113.661</v>
      </c>
      <c r="BP18" s="119">
        <f t="shared" si="3"/>
        <v>99.96921615536168</v>
      </c>
      <c r="BQ18" s="119"/>
      <c r="BR18" s="119"/>
      <c r="BS18" s="119" t="e">
        <f t="shared" si="4"/>
        <v>#DIV/0!</v>
      </c>
      <c r="BT18" s="121"/>
      <c r="BU18" s="121"/>
      <c r="BV18" s="119" t="e">
        <f t="shared" si="31"/>
        <v>#DIV/0!</v>
      </c>
      <c r="BW18" s="119"/>
      <c r="BX18" s="119"/>
      <c r="BY18" s="119"/>
      <c r="BZ18" s="121">
        <f t="shared" si="5"/>
        <v>13229.080000000002</v>
      </c>
      <c r="CA18" s="121">
        <f t="shared" si="6"/>
        <v>7976.157859999998</v>
      </c>
      <c r="CB18" s="119">
        <f t="shared" si="32"/>
        <v>60.292611882307746</v>
      </c>
      <c r="CC18" s="121">
        <f t="shared" si="33"/>
        <v>920.60875</v>
      </c>
      <c r="CD18" s="121">
        <f t="shared" si="33"/>
        <v>605.05549</v>
      </c>
      <c r="CE18" s="119">
        <f t="shared" si="34"/>
        <v>65.72341290477632</v>
      </c>
      <c r="CF18" s="119">
        <f>Мос!C53</f>
        <v>902.01</v>
      </c>
      <c r="CG18" s="119">
        <f>Мос!D53</f>
        <v>605.05549</v>
      </c>
      <c r="CH18" s="119">
        <f t="shared" si="35"/>
        <v>67.07857895145285</v>
      </c>
      <c r="CI18" s="119"/>
      <c r="CJ18" s="119"/>
      <c r="CK18" s="119" t="e">
        <f t="shared" si="36"/>
        <v>#DIV/0!</v>
      </c>
      <c r="CL18" s="119">
        <f>Мос!C55</f>
        <v>18.59875</v>
      </c>
      <c r="CM18" s="119"/>
      <c r="CN18" s="119">
        <f t="shared" si="37"/>
        <v>0</v>
      </c>
      <c r="CO18" s="119"/>
      <c r="CP18" s="119"/>
      <c r="CQ18" s="119" t="e">
        <f t="shared" si="38"/>
        <v>#DIV/0!</v>
      </c>
      <c r="CR18" s="119">
        <f>Мос!C56</f>
        <v>113.57</v>
      </c>
      <c r="CS18" s="119">
        <f>Мос!D56</f>
        <v>68.57585</v>
      </c>
      <c r="CT18" s="119">
        <f t="shared" si="39"/>
        <v>60.38201109447918</v>
      </c>
      <c r="CU18" s="119">
        <f>Мос!C58</f>
        <v>23.30125</v>
      </c>
      <c r="CV18" s="119">
        <f>Мос!D58</f>
        <v>1.40125</v>
      </c>
      <c r="CW18" s="119">
        <f t="shared" si="40"/>
        <v>6.013625878439999</v>
      </c>
      <c r="CX18" s="121">
        <f>Мос!C62</f>
        <v>4964.7</v>
      </c>
      <c r="CY18" s="121">
        <f>Мос!D62</f>
        <v>4360.393</v>
      </c>
      <c r="CZ18" s="119">
        <f t="shared" si="41"/>
        <v>87.82792515157008</v>
      </c>
      <c r="DA18" s="121">
        <f>Мос!C66</f>
        <v>1149.58</v>
      </c>
      <c r="DB18" s="121">
        <f>Мос!D66</f>
        <v>835.78937</v>
      </c>
      <c r="DC18" s="119">
        <f t="shared" si="42"/>
        <v>72.70388924650743</v>
      </c>
      <c r="DD18" s="129">
        <f>Мос!C77</f>
        <v>3331.92</v>
      </c>
      <c r="DE18" s="129">
        <f>Мос!D77</f>
        <v>482.6739</v>
      </c>
      <c r="DF18" s="119">
        <f t="shared" si="7"/>
        <v>14.486359216307715</v>
      </c>
      <c r="DG18" s="119">
        <f>Мос!C85</f>
        <v>1772.61</v>
      </c>
      <c r="DH18" s="119">
        <f>Мос!D85</f>
        <v>757.74</v>
      </c>
      <c r="DI18" s="119">
        <f t="shared" si="8"/>
        <v>42.747135579738355</v>
      </c>
      <c r="DJ18" s="120">
        <f>Мос!C89</f>
        <v>32</v>
      </c>
      <c r="DK18" s="120">
        <f>Мос!D89</f>
        <v>18.489</v>
      </c>
      <c r="DL18" s="119">
        <f t="shared" si="43"/>
        <v>57.778125</v>
      </c>
      <c r="DM18" s="119">
        <f>Мос!C99</f>
        <v>920.79</v>
      </c>
      <c r="DN18" s="119">
        <f>Мос!D99</f>
        <v>846.04</v>
      </c>
      <c r="DO18" s="119">
        <f t="shared" si="45"/>
        <v>91.8819709162784</v>
      </c>
      <c r="DP18" s="124">
        <f t="shared" si="9"/>
        <v>976.8739999999998</v>
      </c>
      <c r="DQ18" s="124">
        <f t="shared" si="10"/>
        <v>-3591.404800000001</v>
      </c>
      <c r="DR18" s="119">
        <f t="shared" si="44"/>
        <v>-367.64258235964945</v>
      </c>
    </row>
    <row r="19" spans="1:138" s="112" customFormat="1" ht="14.25" customHeight="1">
      <c r="A19" s="115">
        <v>7</v>
      </c>
      <c r="B19" s="116" t="s">
        <v>219</v>
      </c>
      <c r="C19" s="117">
        <f t="shared" si="11"/>
        <v>3810.458</v>
      </c>
      <c r="D19" s="133">
        <f t="shared" si="0"/>
        <v>2798.09672</v>
      </c>
      <c r="E19" s="119">
        <f t="shared" si="1"/>
        <v>73.43203153006804</v>
      </c>
      <c r="F19" s="120">
        <f t="shared" si="12"/>
        <v>1154.4</v>
      </c>
      <c r="G19" s="120">
        <f t="shared" si="13"/>
        <v>879.10072</v>
      </c>
      <c r="H19" s="119">
        <f t="shared" si="14"/>
        <v>76.15217602217602</v>
      </c>
      <c r="I19" s="121">
        <f>Ори!C7</f>
        <v>509.7</v>
      </c>
      <c r="J19" s="121">
        <f>Ори!D7</f>
        <v>414.55764</v>
      </c>
      <c r="K19" s="119">
        <f t="shared" si="15"/>
        <v>81.33365509123014</v>
      </c>
      <c r="L19" s="121">
        <f>Ори!C9</f>
        <v>17</v>
      </c>
      <c r="M19" s="121">
        <f>Ори!D9</f>
        <v>2.87508</v>
      </c>
      <c r="N19" s="119">
        <f t="shared" si="16"/>
        <v>16.912235294117647</v>
      </c>
      <c r="O19" s="121">
        <f>Ори!C12</f>
        <v>27.9</v>
      </c>
      <c r="P19" s="121">
        <f>Ори!D12</f>
        <v>13.4449</v>
      </c>
      <c r="Q19" s="119">
        <f t="shared" si="17"/>
        <v>48.18960573476703</v>
      </c>
      <c r="R19" s="121">
        <f>Ори!C11</f>
        <v>390.8</v>
      </c>
      <c r="S19" s="121">
        <f>Ори!D11</f>
        <v>240.5221</v>
      </c>
      <c r="T19" s="119">
        <f t="shared" si="18"/>
        <v>61.54608495394063</v>
      </c>
      <c r="U19" s="119">
        <f>Ори!C17</f>
        <v>19</v>
      </c>
      <c r="V19" s="119">
        <f>Ори!D17</f>
        <v>7.165</v>
      </c>
      <c r="W19" s="119">
        <f t="shared" si="19"/>
        <v>37.71052631578947</v>
      </c>
      <c r="X19" s="121">
        <f>Ори!C21</f>
        <v>129</v>
      </c>
      <c r="Y19" s="121">
        <f>Ори!D21</f>
        <v>158.93509</v>
      </c>
      <c r="Z19" s="119">
        <f t="shared" si="20"/>
        <v>123.205496124031</v>
      </c>
      <c r="AA19" s="121"/>
      <c r="AB19" s="121"/>
      <c r="AC19" s="119" t="e">
        <f t="shared" si="21"/>
        <v>#DIV/0!</v>
      </c>
      <c r="AD19" s="121">
        <f>Ори!C22</f>
        <v>0</v>
      </c>
      <c r="AE19" s="121">
        <f>Ори!D22</f>
        <v>3.8875</v>
      </c>
      <c r="AF19" s="119" t="e">
        <f t="shared" si="22"/>
        <v>#DIV/0!</v>
      </c>
      <c r="AG19" s="121"/>
      <c r="AH19" s="121">
        <f>Ори!D19</f>
        <v>0</v>
      </c>
      <c r="AI19" s="119" t="e">
        <f t="shared" si="23"/>
        <v>#DIV/0!</v>
      </c>
      <c r="AJ19" s="119">
        <f>Ори!C25</f>
        <v>60</v>
      </c>
      <c r="AK19" s="119">
        <f>Ори!D25</f>
        <v>37.71341</v>
      </c>
      <c r="AL19" s="119">
        <f t="shared" si="24"/>
        <v>62.85568333333333</v>
      </c>
      <c r="AM19" s="119">
        <f>Ори!C34</f>
        <v>1</v>
      </c>
      <c r="AN19" s="119">
        <f>Ори!D34</f>
        <v>0</v>
      </c>
      <c r="AO19" s="119">
        <f t="shared" si="25"/>
        <v>0</v>
      </c>
      <c r="AP19" s="119"/>
      <c r="AQ19" s="119"/>
      <c r="AR19" s="119"/>
      <c r="AS19" s="119"/>
      <c r="AT19" s="119"/>
      <c r="AU19" s="119" t="e">
        <f t="shared" si="26"/>
        <v>#DIV/0!</v>
      </c>
      <c r="AV19" s="119"/>
      <c r="AW19" s="119"/>
      <c r="AX19" s="122" t="e">
        <f t="shared" si="27"/>
        <v>#DIV/0!</v>
      </c>
      <c r="AY19" s="122"/>
      <c r="AZ19" s="122"/>
      <c r="BA19" s="122" t="e">
        <f t="shared" si="28"/>
        <v>#DIV/0!</v>
      </c>
      <c r="BB19" s="121">
        <f t="shared" si="46"/>
        <v>2656.058</v>
      </c>
      <c r="BC19" s="121">
        <f t="shared" si="47"/>
        <v>1918.996</v>
      </c>
      <c r="BD19" s="119">
        <f t="shared" si="48"/>
        <v>72.2497776780477</v>
      </c>
      <c r="BE19" s="123">
        <f>Ори!C40</f>
        <v>1929.8</v>
      </c>
      <c r="BF19" s="123">
        <f>Ори!D40</f>
        <v>1569.92</v>
      </c>
      <c r="BG19" s="119">
        <f t="shared" si="29"/>
        <v>81.35143538190486</v>
      </c>
      <c r="BH19" s="119">
        <f>Ори!C41</f>
        <v>80</v>
      </c>
      <c r="BI19" s="119">
        <f>Ори!D41</f>
        <v>66.7</v>
      </c>
      <c r="BJ19" s="119">
        <f t="shared" si="30"/>
        <v>83.375</v>
      </c>
      <c r="BK19" s="119">
        <f>Ори!C42</f>
        <v>532.57</v>
      </c>
      <c r="BL19" s="119">
        <f>Ори!D42</f>
        <v>168.721</v>
      </c>
      <c r="BM19" s="119">
        <f t="shared" si="2"/>
        <v>31.6805302589331</v>
      </c>
      <c r="BN19" s="119">
        <f>Ори!C43</f>
        <v>113.688</v>
      </c>
      <c r="BO19" s="119">
        <f>Ори!D43</f>
        <v>113.655</v>
      </c>
      <c r="BP19" s="119">
        <f t="shared" si="3"/>
        <v>99.97097318978257</v>
      </c>
      <c r="BQ19" s="119"/>
      <c r="BR19" s="119"/>
      <c r="BS19" s="119" t="e">
        <f t="shared" si="4"/>
        <v>#DIV/0!</v>
      </c>
      <c r="BT19" s="121"/>
      <c r="BU19" s="121"/>
      <c r="BV19" s="119" t="e">
        <f t="shared" si="31"/>
        <v>#DIV/0!</v>
      </c>
      <c r="BW19" s="119"/>
      <c r="BX19" s="119"/>
      <c r="BY19" s="119"/>
      <c r="BZ19" s="121">
        <f t="shared" si="5"/>
        <v>3960.458</v>
      </c>
      <c r="CA19" s="121">
        <f t="shared" si="6"/>
        <v>2639.5986</v>
      </c>
      <c r="CB19" s="119">
        <f t="shared" si="32"/>
        <v>66.64882192918091</v>
      </c>
      <c r="CC19" s="121">
        <f t="shared" si="33"/>
        <v>824.01375</v>
      </c>
      <c r="CD19" s="121">
        <f t="shared" si="33"/>
        <v>631.87957</v>
      </c>
      <c r="CE19" s="119">
        <f t="shared" si="34"/>
        <v>76.68313423168</v>
      </c>
      <c r="CF19" s="119">
        <f>Ори!C53</f>
        <v>728.515</v>
      </c>
      <c r="CG19" s="119">
        <f>Ори!D53</f>
        <v>549.97957</v>
      </c>
      <c r="CH19" s="119">
        <f t="shared" si="35"/>
        <v>75.49323898615677</v>
      </c>
      <c r="CI19" s="119">
        <f>Ори!C54</f>
        <v>81.9</v>
      </c>
      <c r="CJ19" s="119">
        <f>Ори!D54</f>
        <v>81.9</v>
      </c>
      <c r="CK19" s="119">
        <f t="shared" si="36"/>
        <v>100</v>
      </c>
      <c r="CL19" s="119">
        <f>Ори!C55</f>
        <v>13.59875</v>
      </c>
      <c r="CM19" s="119"/>
      <c r="CN19" s="119">
        <f t="shared" si="37"/>
        <v>0</v>
      </c>
      <c r="CO19" s="119"/>
      <c r="CP19" s="119"/>
      <c r="CQ19" s="119" t="e">
        <f t="shared" si="38"/>
        <v>#DIV/0!</v>
      </c>
      <c r="CR19" s="119">
        <f>Ори!C56</f>
        <v>113.57</v>
      </c>
      <c r="CS19" s="119">
        <f>Ори!D57</f>
        <v>70.01639</v>
      </c>
      <c r="CT19" s="119">
        <f t="shared" si="39"/>
        <v>61.65042704939685</v>
      </c>
      <c r="CU19" s="119">
        <f>Ори!C58</f>
        <v>19.40125</v>
      </c>
      <c r="CV19" s="119">
        <f>Ори!D58</f>
        <v>1.40125</v>
      </c>
      <c r="CW19" s="119">
        <f t="shared" si="40"/>
        <v>7.222472778815798</v>
      </c>
      <c r="CX19" s="121">
        <f>Ори!C62</f>
        <v>0</v>
      </c>
      <c r="CY19" s="121">
        <f>Ори!D62</f>
        <v>0</v>
      </c>
      <c r="CZ19" s="119" t="e">
        <f t="shared" si="41"/>
        <v>#DIV/0!</v>
      </c>
      <c r="DA19" s="121">
        <f>Ори!C66</f>
        <v>985.228</v>
      </c>
      <c r="DB19" s="121">
        <f>Ори!D66</f>
        <v>674.25223</v>
      </c>
      <c r="DC19" s="119">
        <f t="shared" si="42"/>
        <v>68.43616198484007</v>
      </c>
      <c r="DD19" s="121">
        <f>Ори!C77</f>
        <v>1661.3</v>
      </c>
      <c r="DE19" s="121">
        <f>Ори!D77</f>
        <v>1101.97416</v>
      </c>
      <c r="DF19" s="119">
        <f t="shared" si="7"/>
        <v>66.33203876482273</v>
      </c>
      <c r="DG19" s="119">
        <f>Ори!C85</f>
        <v>297.47</v>
      </c>
      <c r="DH19" s="119">
        <f>Ори!D85</f>
        <v>105.6</v>
      </c>
      <c r="DI19" s="119">
        <f t="shared" si="8"/>
        <v>35.49937808854674</v>
      </c>
      <c r="DJ19" s="120">
        <f>Ори!C89</f>
        <v>13</v>
      </c>
      <c r="DK19" s="120">
        <f>Ори!D89</f>
        <v>8</v>
      </c>
      <c r="DL19" s="119">
        <f t="shared" si="43"/>
        <v>61.53846153846154</v>
      </c>
      <c r="DM19" s="119">
        <f>Ори!C99</f>
        <v>46.475</v>
      </c>
      <c r="DN19" s="119">
        <f>Ори!D99</f>
        <v>46.475</v>
      </c>
      <c r="DO19" s="119">
        <f t="shared" si="45"/>
        <v>100</v>
      </c>
      <c r="DP19" s="124">
        <f t="shared" si="9"/>
        <v>150</v>
      </c>
      <c r="DQ19" s="124">
        <f t="shared" si="10"/>
        <v>-158.4981200000002</v>
      </c>
      <c r="DR19" s="119">
        <f t="shared" si="44"/>
        <v>-105.66541333333346</v>
      </c>
      <c r="DZ19" s="134"/>
      <c r="EA19" s="134"/>
      <c r="EB19" s="134"/>
      <c r="EC19" s="134"/>
      <c r="ED19" s="134"/>
      <c r="EE19" s="134"/>
      <c r="EF19" s="134"/>
      <c r="EG19" s="134"/>
      <c r="EH19" s="134"/>
    </row>
    <row r="20" spans="1:138" s="112" customFormat="1" ht="15" customHeight="1">
      <c r="A20" s="115">
        <v>8</v>
      </c>
      <c r="B20" s="116" t="s">
        <v>220</v>
      </c>
      <c r="C20" s="117">
        <f t="shared" si="11"/>
        <v>4779.862999999999</v>
      </c>
      <c r="D20" s="133">
        <f t="shared" si="0"/>
        <v>3545.25993</v>
      </c>
      <c r="E20" s="119">
        <f t="shared" si="1"/>
        <v>74.17074359662611</v>
      </c>
      <c r="F20" s="120">
        <f t="shared" si="12"/>
        <v>1033.4</v>
      </c>
      <c r="G20" s="120">
        <f t="shared" si="13"/>
        <v>639.3019299999999</v>
      </c>
      <c r="H20" s="119">
        <f t="shared" si="14"/>
        <v>61.86393748790399</v>
      </c>
      <c r="I20" s="121">
        <f>Сятр!C7</f>
        <v>418.1</v>
      </c>
      <c r="J20" s="121">
        <f>Сятр!D7</f>
        <v>252.12196</v>
      </c>
      <c r="K20" s="119">
        <f t="shared" si="15"/>
        <v>60.30183209758431</v>
      </c>
      <c r="L20" s="121">
        <f>Сятр!C9</f>
        <v>15</v>
      </c>
      <c r="M20" s="121">
        <f>Сятр!D9</f>
        <v>11.71442</v>
      </c>
      <c r="N20" s="119">
        <f t="shared" si="16"/>
        <v>78.09613333333334</v>
      </c>
      <c r="O20" s="121">
        <f>Сятр!C12</f>
        <v>34.4</v>
      </c>
      <c r="P20" s="121">
        <f>Сятр!D12</f>
        <v>8.02329</v>
      </c>
      <c r="Q20" s="119">
        <f t="shared" si="17"/>
        <v>23.323517441860464</v>
      </c>
      <c r="R20" s="121">
        <f>Сятр!C11</f>
        <v>427.2</v>
      </c>
      <c r="S20" s="121">
        <f>Сятр!D11</f>
        <v>314.21348</v>
      </c>
      <c r="T20" s="119">
        <f t="shared" si="18"/>
        <v>73.55184456928839</v>
      </c>
      <c r="U20" s="119">
        <f>Сятр!C17</f>
        <v>5.7</v>
      </c>
      <c r="V20" s="119">
        <f>Сятр!D17</f>
        <v>11.9</v>
      </c>
      <c r="W20" s="119">
        <f t="shared" si="19"/>
        <v>208.7719298245614</v>
      </c>
      <c r="X20" s="121">
        <f>Сятр!C21</f>
        <v>45</v>
      </c>
      <c r="Y20" s="121">
        <f>Сятр!D21</f>
        <v>33.61488</v>
      </c>
      <c r="Z20" s="119">
        <f t="shared" si="20"/>
        <v>74.69973333333333</v>
      </c>
      <c r="AA20" s="121"/>
      <c r="AB20" s="121"/>
      <c r="AC20" s="119" t="e">
        <f t="shared" si="21"/>
        <v>#DIV/0!</v>
      </c>
      <c r="AD20" s="121">
        <f>Сятр!C22</f>
        <v>7</v>
      </c>
      <c r="AE20" s="121">
        <f>Сятр!D22</f>
        <v>7.7139</v>
      </c>
      <c r="AF20" s="119">
        <f t="shared" si="22"/>
        <v>110.19857142857144</v>
      </c>
      <c r="AG20" s="121"/>
      <c r="AH20" s="121">
        <f>Сятр!D19</f>
        <v>0</v>
      </c>
      <c r="AI20" s="119" t="e">
        <f t="shared" si="23"/>
        <v>#DIV/0!</v>
      </c>
      <c r="AJ20" s="119">
        <f>Сятр!C25</f>
        <v>80</v>
      </c>
      <c r="AK20" s="119">
        <f>Сятр!D25</f>
        <v>0</v>
      </c>
      <c r="AL20" s="119">
        <f t="shared" si="24"/>
        <v>0</v>
      </c>
      <c r="AM20" s="127">
        <f>Сятр!C34</f>
        <v>1</v>
      </c>
      <c r="AN20" s="127">
        <f>Сятр!D34</f>
        <v>0</v>
      </c>
      <c r="AO20" s="119">
        <f t="shared" si="25"/>
        <v>0</v>
      </c>
      <c r="AP20" s="119"/>
      <c r="AQ20" s="119"/>
      <c r="AR20" s="119"/>
      <c r="AS20" s="119"/>
      <c r="AT20" s="119">
        <f>Сятр!D36</f>
        <v>0</v>
      </c>
      <c r="AU20" s="119" t="e">
        <f t="shared" si="26"/>
        <v>#DIV/0!</v>
      </c>
      <c r="AV20" s="119"/>
      <c r="AW20" s="119"/>
      <c r="AX20" s="122" t="e">
        <f t="shared" si="27"/>
        <v>#DIV/0!</v>
      </c>
      <c r="AY20" s="122"/>
      <c r="AZ20" s="122"/>
      <c r="BA20" s="122" t="e">
        <f t="shared" si="28"/>
        <v>#DIV/0!</v>
      </c>
      <c r="BB20" s="121">
        <f t="shared" si="46"/>
        <v>3746.4629999999997</v>
      </c>
      <c r="BC20" s="121">
        <f t="shared" si="47"/>
        <v>2905.958</v>
      </c>
      <c r="BD20" s="119">
        <f t="shared" si="48"/>
        <v>77.56537299314047</v>
      </c>
      <c r="BE20" s="123">
        <f>Сятр!C40</f>
        <v>2448.7</v>
      </c>
      <c r="BF20" s="123">
        <f>Сятр!D40</f>
        <v>1996.46</v>
      </c>
      <c r="BG20" s="119">
        <f t="shared" si="29"/>
        <v>81.53142483766898</v>
      </c>
      <c r="BH20" s="119"/>
      <c r="BI20" s="119"/>
      <c r="BJ20" s="119" t="e">
        <f t="shared" si="30"/>
        <v>#DIV/0!</v>
      </c>
      <c r="BK20" s="119">
        <f>Сятр!C42</f>
        <v>1184.06</v>
      </c>
      <c r="BL20" s="119">
        <f>Сятр!D42</f>
        <v>795.831</v>
      </c>
      <c r="BM20" s="119">
        <f t="shared" si="2"/>
        <v>67.2120500650305</v>
      </c>
      <c r="BN20" s="119">
        <f>Сятр!C43</f>
        <v>113.703</v>
      </c>
      <c r="BO20" s="119">
        <f>Сятр!D43</f>
        <v>113.667</v>
      </c>
      <c r="BP20" s="119">
        <f t="shared" si="3"/>
        <v>99.96833856626473</v>
      </c>
      <c r="BQ20" s="119"/>
      <c r="BR20" s="119"/>
      <c r="BS20" s="119" t="e">
        <f t="shared" si="4"/>
        <v>#DIV/0!</v>
      </c>
      <c r="BT20" s="121"/>
      <c r="BU20" s="121"/>
      <c r="BV20" s="119" t="e">
        <f t="shared" si="31"/>
        <v>#DIV/0!</v>
      </c>
      <c r="BW20" s="119"/>
      <c r="BX20" s="119"/>
      <c r="BY20" s="119"/>
      <c r="BZ20" s="121">
        <f t="shared" si="5"/>
        <v>5148.003000000001</v>
      </c>
      <c r="CA20" s="121">
        <f t="shared" si="6"/>
        <v>2915.5948300000005</v>
      </c>
      <c r="CB20" s="119">
        <f t="shared" si="32"/>
        <v>56.63545320389285</v>
      </c>
      <c r="CC20" s="121">
        <f t="shared" si="33"/>
        <v>770.13175</v>
      </c>
      <c r="CD20" s="121">
        <f t="shared" si="33"/>
        <v>578.16505</v>
      </c>
      <c r="CE20" s="119">
        <f t="shared" si="34"/>
        <v>75.0735247572899</v>
      </c>
      <c r="CF20" s="119">
        <f>Сятр!C53</f>
        <v>751.533</v>
      </c>
      <c r="CG20" s="119">
        <f>Сятр!D53</f>
        <v>578.16505</v>
      </c>
      <c r="CH20" s="119">
        <f t="shared" si="35"/>
        <v>76.93142549961212</v>
      </c>
      <c r="CI20" s="119"/>
      <c r="CJ20" s="119"/>
      <c r="CK20" s="119" t="e">
        <f t="shared" si="36"/>
        <v>#DIV/0!</v>
      </c>
      <c r="CL20" s="119">
        <f>Сятр!C55</f>
        <v>18.59875</v>
      </c>
      <c r="CM20" s="119"/>
      <c r="CN20" s="119">
        <f t="shared" si="37"/>
        <v>0</v>
      </c>
      <c r="CO20" s="119"/>
      <c r="CP20" s="119"/>
      <c r="CQ20" s="119" t="e">
        <f t="shared" si="38"/>
        <v>#DIV/0!</v>
      </c>
      <c r="CR20" s="119">
        <f>Сятр!C56</f>
        <v>113.57</v>
      </c>
      <c r="CS20" s="119">
        <f>Сятр!D56</f>
        <v>89.52453</v>
      </c>
      <c r="CT20" s="119">
        <f t="shared" si="39"/>
        <v>78.82762173109096</v>
      </c>
      <c r="CU20" s="119">
        <f>Сятр!C58</f>
        <v>37.30125</v>
      </c>
      <c r="CV20" s="119">
        <f>Сятр!D60</f>
        <v>1.40125</v>
      </c>
      <c r="CW20" s="119">
        <f t="shared" si="40"/>
        <v>3.7565765222345093</v>
      </c>
      <c r="CX20" s="121">
        <f>Сятр!C62</f>
        <v>307.64</v>
      </c>
      <c r="CY20" s="121">
        <f>Сятр!D62</f>
        <v>7.6375</v>
      </c>
      <c r="CZ20" s="119">
        <f t="shared" si="41"/>
        <v>2.482609543622416</v>
      </c>
      <c r="DA20" s="121">
        <f>Сятр!C66</f>
        <v>1102.9</v>
      </c>
      <c r="DB20" s="121">
        <f>Сятр!D66</f>
        <v>702.24674</v>
      </c>
      <c r="DC20" s="119">
        <f t="shared" si="42"/>
        <v>63.67274820926648</v>
      </c>
      <c r="DD20" s="129">
        <f>Сятр!C77</f>
        <v>1673.1</v>
      </c>
      <c r="DE20" s="129">
        <f>Сятр!D77</f>
        <v>1011.41076</v>
      </c>
      <c r="DF20" s="119">
        <f t="shared" si="7"/>
        <v>60.45130356822664</v>
      </c>
      <c r="DG20" s="119">
        <f>Сятр!C85</f>
        <v>917.76</v>
      </c>
      <c r="DH20" s="119">
        <f>Сятр!D85</f>
        <v>407.8</v>
      </c>
      <c r="DI20" s="119">
        <f t="shared" si="8"/>
        <v>44.434274755927476</v>
      </c>
      <c r="DJ20" s="120">
        <f>Сятр!C89</f>
        <v>15</v>
      </c>
      <c r="DK20" s="120">
        <f>Сятр!D89</f>
        <v>12.109</v>
      </c>
      <c r="DL20" s="119">
        <f t="shared" si="43"/>
        <v>80.72666666666667</v>
      </c>
      <c r="DM20" s="119">
        <f>Сятр!C99</f>
        <v>210.6</v>
      </c>
      <c r="DN20" s="119">
        <f>Сятр!D99</f>
        <v>105.3</v>
      </c>
      <c r="DO20" s="119">
        <f t="shared" si="45"/>
        <v>50</v>
      </c>
      <c r="DP20" s="124">
        <f t="shared" si="9"/>
        <v>368.14000000000124</v>
      </c>
      <c r="DQ20" s="124">
        <f t="shared" si="10"/>
        <v>-629.6650999999997</v>
      </c>
      <c r="DR20" s="119">
        <f t="shared" si="44"/>
        <v>-171.03957733470895</v>
      </c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</row>
    <row r="21" spans="1:138" s="112" customFormat="1" ht="15" customHeight="1">
      <c r="A21" s="115">
        <v>9</v>
      </c>
      <c r="B21" s="116" t="s">
        <v>221</v>
      </c>
      <c r="C21" s="117">
        <f t="shared" si="11"/>
        <v>5452.772</v>
      </c>
      <c r="D21" s="133">
        <f t="shared" si="0"/>
        <v>4120.63093</v>
      </c>
      <c r="E21" s="119">
        <f t="shared" si="1"/>
        <v>75.56947053718733</v>
      </c>
      <c r="F21" s="120">
        <f t="shared" si="12"/>
        <v>752.3</v>
      </c>
      <c r="G21" s="120">
        <f t="shared" si="13"/>
        <v>491.72093</v>
      </c>
      <c r="H21" s="119">
        <f t="shared" si="14"/>
        <v>65.36234613850857</v>
      </c>
      <c r="I21" s="121">
        <f>Тор!C7</f>
        <v>238.8</v>
      </c>
      <c r="J21" s="121">
        <f>Тор!D7</f>
        <v>219.82118</v>
      </c>
      <c r="K21" s="119">
        <f t="shared" si="15"/>
        <v>92.05242043551088</v>
      </c>
      <c r="L21" s="121">
        <f>Тор!C9</f>
        <v>5</v>
      </c>
      <c r="M21" s="121">
        <f>Тор!D9</f>
        <v>1.85822</v>
      </c>
      <c r="N21" s="119">
        <f t="shared" si="16"/>
        <v>37.1644</v>
      </c>
      <c r="O21" s="121">
        <f>Тор!C12</f>
        <v>25.4</v>
      </c>
      <c r="P21" s="121">
        <f>Тор!D12</f>
        <v>7.19932</v>
      </c>
      <c r="Q21" s="119">
        <f t="shared" si="17"/>
        <v>28.34377952755906</v>
      </c>
      <c r="R21" s="121">
        <f>Тор!C11</f>
        <v>342.9</v>
      </c>
      <c r="S21" s="121">
        <f>Тор!D11</f>
        <v>186.33903</v>
      </c>
      <c r="T21" s="119">
        <f t="shared" si="18"/>
        <v>54.342090988626424</v>
      </c>
      <c r="U21" s="119">
        <f>Тор!C17</f>
        <v>9.2</v>
      </c>
      <c r="V21" s="119">
        <f>Тор!D17</f>
        <v>6.67</v>
      </c>
      <c r="W21" s="119">
        <f t="shared" si="19"/>
        <v>72.50000000000001</v>
      </c>
      <c r="X21" s="121">
        <f>Тор!C21</f>
        <v>112</v>
      </c>
      <c r="Y21" s="121">
        <f>Тор!D21</f>
        <v>52.33058</v>
      </c>
      <c r="Z21" s="119">
        <f t="shared" si="20"/>
        <v>46.72373214285714</v>
      </c>
      <c r="AA21" s="121"/>
      <c r="AB21" s="121"/>
      <c r="AC21" s="119" t="e">
        <f t="shared" si="21"/>
        <v>#DIV/0!</v>
      </c>
      <c r="AD21" s="121">
        <f>Тор!C22</f>
        <v>8</v>
      </c>
      <c r="AE21" s="121">
        <f>Тор!D22</f>
        <v>7.5026</v>
      </c>
      <c r="AF21" s="119">
        <f t="shared" si="22"/>
        <v>93.7825</v>
      </c>
      <c r="AG21" s="121"/>
      <c r="AH21" s="121">
        <f>Тор!D19</f>
        <v>0</v>
      </c>
      <c r="AI21" s="119" t="e">
        <f t="shared" si="23"/>
        <v>#DIV/0!</v>
      </c>
      <c r="AJ21" s="119">
        <f>Тор!C25</f>
        <v>10</v>
      </c>
      <c r="AK21" s="119">
        <f>Тор!D25</f>
        <v>0</v>
      </c>
      <c r="AL21" s="119">
        <f t="shared" si="24"/>
        <v>0</v>
      </c>
      <c r="AM21" s="119">
        <f>Тор!C34</f>
        <v>1</v>
      </c>
      <c r="AN21" s="119">
        <f>Тор!D34</f>
        <v>0</v>
      </c>
      <c r="AO21" s="119">
        <f t="shared" si="25"/>
        <v>0</v>
      </c>
      <c r="AP21" s="119"/>
      <c r="AQ21" s="119">
        <f>Тор!D35</f>
        <v>10</v>
      </c>
      <c r="AR21" s="119"/>
      <c r="AS21" s="119"/>
      <c r="AT21" s="119">
        <v>0</v>
      </c>
      <c r="AU21" s="119" t="e">
        <f t="shared" si="26"/>
        <v>#DIV/0!</v>
      </c>
      <c r="AV21" s="119"/>
      <c r="AW21" s="119"/>
      <c r="AX21" s="122" t="e">
        <f t="shared" si="27"/>
        <v>#DIV/0!</v>
      </c>
      <c r="AY21" s="122"/>
      <c r="AZ21" s="122"/>
      <c r="BA21" s="122" t="e">
        <f t="shared" si="28"/>
        <v>#DIV/0!</v>
      </c>
      <c r="BB21" s="121">
        <f t="shared" si="46"/>
        <v>4700.472</v>
      </c>
      <c r="BC21" s="121">
        <f t="shared" si="47"/>
        <v>3628.91</v>
      </c>
      <c r="BD21" s="119">
        <f t="shared" si="48"/>
        <v>77.20309790165754</v>
      </c>
      <c r="BE21" s="123">
        <f>Тор!C40</f>
        <v>2244.7</v>
      </c>
      <c r="BF21" s="123">
        <f>Тор!D40</f>
        <v>1833.26</v>
      </c>
      <c r="BG21" s="119">
        <f t="shared" si="29"/>
        <v>81.67060186216422</v>
      </c>
      <c r="BH21" s="119">
        <f>Тор!C41</f>
        <v>658.3</v>
      </c>
      <c r="BI21" s="119">
        <f>Тор!D41</f>
        <v>627</v>
      </c>
      <c r="BJ21" s="119">
        <f t="shared" si="30"/>
        <v>95.24532887741152</v>
      </c>
      <c r="BK21" s="119">
        <f>Тор!C42</f>
        <v>1683.79</v>
      </c>
      <c r="BL21" s="119">
        <f>Тор!D42</f>
        <v>1054.999</v>
      </c>
      <c r="BM21" s="119">
        <f t="shared" si="2"/>
        <v>62.65621009745871</v>
      </c>
      <c r="BN21" s="119">
        <f>Тор!C43</f>
        <v>113.682</v>
      </c>
      <c r="BO21" s="119">
        <f>Тор!D43</f>
        <v>113.651</v>
      </c>
      <c r="BP21" s="119">
        <f t="shared" si="3"/>
        <v>99.97273095124997</v>
      </c>
      <c r="BQ21" s="119"/>
      <c r="BR21" s="119"/>
      <c r="BS21" s="119" t="e">
        <f t="shared" si="4"/>
        <v>#DIV/0!</v>
      </c>
      <c r="BT21" s="121"/>
      <c r="BU21" s="121"/>
      <c r="BV21" s="119" t="e">
        <f t="shared" si="31"/>
        <v>#DIV/0!</v>
      </c>
      <c r="BW21" s="119"/>
      <c r="BX21" s="119"/>
      <c r="BY21" s="119"/>
      <c r="BZ21" s="121">
        <f t="shared" si="5"/>
        <v>5660.772000000001</v>
      </c>
      <c r="CA21" s="121">
        <f t="shared" si="6"/>
        <v>2824.6151600000003</v>
      </c>
      <c r="CB21" s="119">
        <f t="shared" si="32"/>
        <v>49.89805560089683</v>
      </c>
      <c r="CC21" s="121">
        <f t="shared" si="33"/>
        <v>695.51075</v>
      </c>
      <c r="CD21" s="121">
        <f t="shared" si="33"/>
        <v>482.57721</v>
      </c>
      <c r="CE21" s="119">
        <f t="shared" si="34"/>
        <v>69.38457960570702</v>
      </c>
      <c r="CF21" s="119">
        <f>Тор!C53</f>
        <v>691.912</v>
      </c>
      <c r="CG21" s="119">
        <f>Тор!D53</f>
        <v>482.57721</v>
      </c>
      <c r="CH21" s="119">
        <f t="shared" si="35"/>
        <v>69.74546040536947</v>
      </c>
      <c r="CI21" s="119"/>
      <c r="CJ21" s="119"/>
      <c r="CK21" s="119" t="e">
        <f t="shared" si="36"/>
        <v>#DIV/0!</v>
      </c>
      <c r="CL21" s="119">
        <f>Тор!C55</f>
        <v>3.59875</v>
      </c>
      <c r="CM21" s="119"/>
      <c r="CN21" s="119">
        <f t="shared" si="37"/>
        <v>0</v>
      </c>
      <c r="CO21" s="119"/>
      <c r="CP21" s="119"/>
      <c r="CQ21" s="119" t="e">
        <f t="shared" si="38"/>
        <v>#DIV/0!</v>
      </c>
      <c r="CR21" s="119">
        <f>Тор!C56</f>
        <v>113.57</v>
      </c>
      <c r="CS21" s="119">
        <f>Тор!D56</f>
        <v>70.45252</v>
      </c>
      <c r="CT21" s="119">
        <f t="shared" si="39"/>
        <v>62.03444571629832</v>
      </c>
      <c r="CU21" s="119">
        <f>Тор!C58</f>
        <v>51.40125</v>
      </c>
      <c r="CV21" s="119">
        <f>Тор!D58</f>
        <v>13.40125</v>
      </c>
      <c r="CW21" s="119">
        <f t="shared" si="40"/>
        <v>26.07183677439751</v>
      </c>
      <c r="CX21" s="121">
        <f>Тор!C62</f>
        <v>30</v>
      </c>
      <c r="CY21" s="121">
        <f>Тор!D62</f>
        <v>24.975</v>
      </c>
      <c r="CZ21" s="119">
        <f t="shared" si="41"/>
        <v>83.25</v>
      </c>
      <c r="DA21" s="121">
        <f>Тор!C66</f>
        <v>682.6</v>
      </c>
      <c r="DB21" s="121">
        <f>Тор!D66</f>
        <v>555.08365</v>
      </c>
      <c r="DC21" s="119">
        <f t="shared" si="42"/>
        <v>81.31902285379432</v>
      </c>
      <c r="DD21" s="121">
        <f>Тор!C77</f>
        <v>3374.3</v>
      </c>
      <c r="DE21" s="121">
        <f>Тор!D77</f>
        <v>1676.12553</v>
      </c>
      <c r="DF21" s="119">
        <f t="shared" si="7"/>
        <v>49.673281273152945</v>
      </c>
      <c r="DG21" s="119">
        <f>Тор!C85</f>
        <v>711.39</v>
      </c>
      <c r="DH21" s="119">
        <f>Тор!D85</f>
        <v>0</v>
      </c>
      <c r="DI21" s="119">
        <f t="shared" si="8"/>
        <v>0</v>
      </c>
      <c r="DJ21" s="120">
        <f>Тор!C89</f>
        <v>2</v>
      </c>
      <c r="DK21" s="120">
        <f>Тор!D89</f>
        <v>2</v>
      </c>
      <c r="DL21" s="119">
        <f t="shared" si="43"/>
        <v>100</v>
      </c>
      <c r="DM21" s="119">
        <f>Тор!C99</f>
        <v>0</v>
      </c>
      <c r="DN21" s="119">
        <f>Тор!D99</f>
        <v>0</v>
      </c>
      <c r="DO21" s="119" t="e">
        <f t="shared" si="45"/>
        <v>#DIV/0!</v>
      </c>
      <c r="DP21" s="124">
        <f t="shared" si="9"/>
        <v>208.0000000000009</v>
      </c>
      <c r="DQ21" s="124">
        <f t="shared" si="10"/>
        <v>-1296.01577</v>
      </c>
      <c r="DR21" s="119">
        <f t="shared" si="44"/>
        <v>-623.0845048076895</v>
      </c>
      <c r="DZ21" s="134"/>
      <c r="EA21" s="134"/>
      <c r="EB21" s="134"/>
      <c r="EC21" s="134"/>
      <c r="ED21" s="134"/>
      <c r="EE21" s="134"/>
      <c r="EF21" s="134"/>
      <c r="EG21" s="134"/>
      <c r="EH21" s="134"/>
    </row>
    <row r="22" spans="1:122" s="112" customFormat="1" ht="15" customHeight="1">
      <c r="A22" s="115">
        <v>10</v>
      </c>
      <c r="B22" s="116" t="s">
        <v>222</v>
      </c>
      <c r="C22" s="117">
        <f t="shared" si="11"/>
        <v>4462.457</v>
      </c>
      <c r="D22" s="133">
        <f t="shared" si="0"/>
        <v>4071.10708</v>
      </c>
      <c r="E22" s="119">
        <f t="shared" si="1"/>
        <v>91.23016938874706</v>
      </c>
      <c r="F22" s="120">
        <f t="shared" si="12"/>
        <v>383.7</v>
      </c>
      <c r="G22" s="120">
        <f t="shared" si="13"/>
        <v>296.81608</v>
      </c>
      <c r="H22" s="119">
        <f t="shared" si="14"/>
        <v>77.3562887672661</v>
      </c>
      <c r="I22" s="121">
        <f>Хор!C7</f>
        <v>58.6</v>
      </c>
      <c r="J22" s="121">
        <f>Хор!D7</f>
        <v>121.08789</v>
      </c>
      <c r="K22" s="119">
        <f t="shared" si="15"/>
        <v>206.63462457337883</v>
      </c>
      <c r="L22" s="121">
        <f>Хор!C9</f>
        <v>1</v>
      </c>
      <c r="M22" s="121">
        <f>Хор!D9</f>
        <v>16.12875</v>
      </c>
      <c r="N22" s="119">
        <f t="shared" si="16"/>
        <v>1612.875</v>
      </c>
      <c r="O22" s="121">
        <f>Хор!C12</f>
        <v>26.3</v>
      </c>
      <c r="P22" s="121">
        <f>Хор!D12</f>
        <v>5.17601</v>
      </c>
      <c r="Q22" s="119">
        <f t="shared" si="17"/>
        <v>19.6806463878327</v>
      </c>
      <c r="R22" s="129">
        <f>Хор!C11</f>
        <v>217.5</v>
      </c>
      <c r="S22" s="199">
        <f>Хор!D11</f>
        <v>102.21802</v>
      </c>
      <c r="T22" s="119">
        <f t="shared" si="18"/>
        <v>46.9967908045977</v>
      </c>
      <c r="U22" s="119">
        <f>Хор!C17</f>
        <v>9.3</v>
      </c>
      <c r="V22" s="119">
        <f>Хор!D17</f>
        <v>10.7</v>
      </c>
      <c r="W22" s="119">
        <f t="shared" si="19"/>
        <v>115.0537634408602</v>
      </c>
      <c r="X22" s="121">
        <f>Хор!C21</f>
        <v>28</v>
      </c>
      <c r="Y22" s="121">
        <f>Хор!D21</f>
        <v>10.71631</v>
      </c>
      <c r="Z22" s="119">
        <f t="shared" si="20"/>
        <v>38.272535714285716</v>
      </c>
      <c r="AA22" s="121"/>
      <c r="AB22" s="121"/>
      <c r="AC22" s="119" t="e">
        <f t="shared" si="21"/>
        <v>#DIV/0!</v>
      </c>
      <c r="AD22" s="121">
        <f>Хор!C22</f>
        <v>12</v>
      </c>
      <c r="AE22" s="121">
        <f>Хор!D22</f>
        <v>30.7891</v>
      </c>
      <c r="AF22" s="119">
        <f t="shared" si="22"/>
        <v>256.5758333333334</v>
      </c>
      <c r="AG22" s="121"/>
      <c r="AH22" s="121">
        <f>Хор!D19</f>
        <v>0</v>
      </c>
      <c r="AI22" s="119" t="e">
        <f t="shared" si="23"/>
        <v>#DIV/0!</v>
      </c>
      <c r="AJ22" s="119">
        <f>Хор!C25</f>
        <v>30</v>
      </c>
      <c r="AK22" s="119">
        <f>Хор!D25</f>
        <v>0</v>
      </c>
      <c r="AL22" s="119">
        <f t="shared" si="24"/>
        <v>0</v>
      </c>
      <c r="AM22" s="127">
        <f>Хор!C34</f>
        <v>1</v>
      </c>
      <c r="AN22" s="127">
        <f>Хор!D34</f>
        <v>0</v>
      </c>
      <c r="AO22" s="119">
        <f t="shared" si="25"/>
        <v>0</v>
      </c>
      <c r="AP22" s="119"/>
      <c r="AQ22" s="119"/>
      <c r="AR22" s="119"/>
      <c r="AS22" s="119"/>
      <c r="AT22" s="119"/>
      <c r="AU22" s="119" t="e">
        <f t="shared" si="26"/>
        <v>#DIV/0!</v>
      </c>
      <c r="AV22" s="119"/>
      <c r="AW22" s="119"/>
      <c r="AX22" s="122" t="e">
        <f t="shared" si="27"/>
        <v>#DIV/0!</v>
      </c>
      <c r="AY22" s="122"/>
      <c r="AZ22" s="122"/>
      <c r="BA22" s="122" t="e">
        <f t="shared" si="28"/>
        <v>#DIV/0!</v>
      </c>
      <c r="BB22" s="121">
        <f t="shared" si="46"/>
        <v>4078.7570000000005</v>
      </c>
      <c r="BC22" s="121">
        <f t="shared" si="47"/>
        <v>3774.291</v>
      </c>
      <c r="BD22" s="119">
        <f t="shared" si="48"/>
        <v>92.53532387440585</v>
      </c>
      <c r="BE22" s="123">
        <f>Хор!C40</f>
        <v>1370.3</v>
      </c>
      <c r="BF22" s="123">
        <f>Хор!D40</f>
        <v>1119.45</v>
      </c>
      <c r="BG22" s="119">
        <f t="shared" si="29"/>
        <v>81.69378968109173</v>
      </c>
      <c r="BH22" s="119">
        <f>Хор!C41</f>
        <v>128</v>
      </c>
      <c r="BI22" s="119">
        <f>Хор!D41</f>
        <v>106.7</v>
      </c>
      <c r="BJ22" s="119">
        <f t="shared" si="30"/>
        <v>83.359375</v>
      </c>
      <c r="BK22" s="119">
        <f>Хор!C42</f>
        <v>2525.8</v>
      </c>
      <c r="BL22" s="119">
        <f>Хор!D42</f>
        <v>2493.502</v>
      </c>
      <c r="BM22" s="119">
        <f t="shared" si="2"/>
        <v>98.72127642727055</v>
      </c>
      <c r="BN22" s="119">
        <f>Хор!C43</f>
        <v>54.657</v>
      </c>
      <c r="BO22" s="119">
        <f>Хор!D43</f>
        <v>54.639</v>
      </c>
      <c r="BP22" s="119">
        <f t="shared" si="3"/>
        <v>99.96706734727483</v>
      </c>
      <c r="BQ22" s="119"/>
      <c r="BR22" s="119"/>
      <c r="BS22" s="119" t="e">
        <f t="shared" si="4"/>
        <v>#DIV/0!</v>
      </c>
      <c r="BT22" s="121"/>
      <c r="BU22" s="121"/>
      <c r="BV22" s="119" t="e">
        <f t="shared" si="31"/>
        <v>#DIV/0!</v>
      </c>
      <c r="BW22" s="119"/>
      <c r="BX22" s="119"/>
      <c r="BY22" s="119"/>
      <c r="BZ22" s="121">
        <f t="shared" si="5"/>
        <v>4679.067000000001</v>
      </c>
      <c r="CA22" s="121">
        <f t="shared" si="6"/>
        <v>1828.8657600000001</v>
      </c>
      <c r="CB22" s="119">
        <f t="shared" si="32"/>
        <v>39.08612037399763</v>
      </c>
      <c r="CC22" s="121">
        <f t="shared" si="33"/>
        <v>725.26575</v>
      </c>
      <c r="CD22" s="121">
        <f t="shared" si="33"/>
        <v>507.71278</v>
      </c>
      <c r="CE22" s="119">
        <f t="shared" si="34"/>
        <v>70.00368899262098</v>
      </c>
      <c r="CF22" s="119">
        <f>Хор!C53</f>
        <v>721.667</v>
      </c>
      <c r="CG22" s="123">
        <f>Хор!D53</f>
        <v>507.71278</v>
      </c>
      <c r="CH22" s="119">
        <f t="shared" si="35"/>
        <v>70.3527776661535</v>
      </c>
      <c r="CI22" s="119"/>
      <c r="CJ22" s="119"/>
      <c r="CK22" s="119" t="e">
        <f t="shared" si="36"/>
        <v>#DIV/0!</v>
      </c>
      <c r="CL22" s="119">
        <f>Хор!C55</f>
        <v>3.59875</v>
      </c>
      <c r="CM22" s="119"/>
      <c r="CN22" s="119">
        <f t="shared" si="37"/>
        <v>0</v>
      </c>
      <c r="CO22" s="119"/>
      <c r="CP22" s="119"/>
      <c r="CQ22" s="119" t="e">
        <f t="shared" si="38"/>
        <v>#DIV/0!</v>
      </c>
      <c r="CR22" s="119">
        <f>Хор!C56</f>
        <v>54.59</v>
      </c>
      <c r="CS22" s="119">
        <f>Хор!D56</f>
        <v>26.20653</v>
      </c>
      <c r="CT22" s="119">
        <f t="shared" si="39"/>
        <v>48.00610001831837</v>
      </c>
      <c r="CU22" s="119">
        <f>Хор!C58</f>
        <v>13.10125</v>
      </c>
      <c r="CV22" s="119">
        <f>Хор!D58</f>
        <v>1.40125</v>
      </c>
      <c r="CW22" s="119">
        <f t="shared" si="40"/>
        <v>10.69554431829024</v>
      </c>
      <c r="CX22" s="121">
        <f>Хор!C62</f>
        <v>1954.75</v>
      </c>
      <c r="CY22" s="121">
        <f>Хор!D62</f>
        <v>0</v>
      </c>
      <c r="CZ22" s="119">
        <f t="shared" si="41"/>
        <v>0</v>
      </c>
      <c r="DA22" s="121">
        <f>Хор!C66</f>
        <v>541</v>
      </c>
      <c r="DB22" s="121">
        <f>Хор!D66</f>
        <v>289.48023</v>
      </c>
      <c r="DC22" s="119">
        <f t="shared" si="42"/>
        <v>53.50836044362293</v>
      </c>
      <c r="DD22" s="129">
        <f>Хор!C77</f>
        <v>873.3</v>
      </c>
      <c r="DE22" s="129">
        <f>Хор!D77</f>
        <v>490.10497</v>
      </c>
      <c r="DF22" s="119">
        <f t="shared" si="7"/>
        <v>56.12103171876789</v>
      </c>
      <c r="DG22" s="119">
        <f>Хор!C85</f>
        <v>509.96</v>
      </c>
      <c r="DH22" s="119">
        <f>Хор!D85</f>
        <v>509.96</v>
      </c>
      <c r="DI22" s="119">
        <f t="shared" si="8"/>
        <v>100</v>
      </c>
      <c r="DJ22" s="120">
        <f>Хор!C89</f>
        <v>7.1</v>
      </c>
      <c r="DK22" s="120">
        <f>Хор!D89</f>
        <v>4</v>
      </c>
      <c r="DL22" s="119">
        <f t="shared" si="43"/>
        <v>56.33802816901409</v>
      </c>
      <c r="DM22" s="119">
        <f>Хор!C99</f>
        <v>0</v>
      </c>
      <c r="DN22" s="119">
        <f>Тор!D85</f>
        <v>0</v>
      </c>
      <c r="DO22" s="119" t="e">
        <f t="shared" si="45"/>
        <v>#DIV/0!</v>
      </c>
      <c r="DP22" s="124">
        <f t="shared" si="9"/>
        <v>216.61000000000058</v>
      </c>
      <c r="DQ22" s="124">
        <f t="shared" si="10"/>
        <v>-2242.24132</v>
      </c>
      <c r="DR22" s="119">
        <f t="shared" si="44"/>
        <v>-1035.1513411199826</v>
      </c>
    </row>
    <row r="23" spans="1:122" s="112" customFormat="1" ht="15" customHeight="1">
      <c r="A23" s="115">
        <v>11</v>
      </c>
      <c r="B23" s="116" t="s">
        <v>223</v>
      </c>
      <c r="C23" s="117">
        <f t="shared" si="11"/>
        <v>2863.943</v>
      </c>
      <c r="D23" s="133">
        <f t="shared" si="0"/>
        <v>2605.2936899999995</v>
      </c>
      <c r="E23" s="119">
        <f t="shared" si="1"/>
        <v>90.96876893150456</v>
      </c>
      <c r="F23" s="120">
        <f t="shared" si="12"/>
        <v>613.8</v>
      </c>
      <c r="G23" s="120">
        <f t="shared" si="13"/>
        <v>676.6046899999999</v>
      </c>
      <c r="H23" s="119">
        <f t="shared" si="14"/>
        <v>110.23210980775495</v>
      </c>
      <c r="I23" s="121">
        <f>Чум!C7</f>
        <v>181.2</v>
      </c>
      <c r="J23" s="121">
        <f>Чум!D7</f>
        <v>183.02454</v>
      </c>
      <c r="K23" s="119">
        <f t="shared" si="15"/>
        <v>101.00692052980133</v>
      </c>
      <c r="L23" s="121">
        <f>Чум!C9</f>
        <v>19</v>
      </c>
      <c r="M23" s="121">
        <f>Чум!D9</f>
        <v>41.15688</v>
      </c>
      <c r="N23" s="119">
        <f t="shared" si="16"/>
        <v>216.61515789473685</v>
      </c>
      <c r="O23" s="121">
        <f>Чум!C12</f>
        <v>16.5</v>
      </c>
      <c r="P23" s="121">
        <f>Чум!D12</f>
        <v>5.15369</v>
      </c>
      <c r="Q23" s="119">
        <f t="shared" si="17"/>
        <v>31.23448484848485</v>
      </c>
      <c r="R23" s="121">
        <f>Чум!C11</f>
        <v>289.5</v>
      </c>
      <c r="S23" s="121">
        <f>Чум!D11</f>
        <v>171.22432</v>
      </c>
      <c r="T23" s="119">
        <f t="shared" si="18"/>
        <v>59.14484283246978</v>
      </c>
      <c r="U23" s="119">
        <f>Чум!C17</f>
        <v>9.6</v>
      </c>
      <c r="V23" s="119">
        <f>Чум!D17</f>
        <v>13.2</v>
      </c>
      <c r="W23" s="119">
        <f t="shared" si="19"/>
        <v>137.5</v>
      </c>
      <c r="X23" s="121">
        <f>Чум!C21</f>
        <v>67</v>
      </c>
      <c r="Y23" s="121">
        <f>Чум!D21</f>
        <v>41.25442</v>
      </c>
      <c r="Z23" s="119">
        <f t="shared" si="20"/>
        <v>61.57376119402985</v>
      </c>
      <c r="AA23" s="121"/>
      <c r="AB23" s="121"/>
      <c r="AC23" s="119" t="e">
        <f t="shared" si="21"/>
        <v>#DIV/0!</v>
      </c>
      <c r="AD23" s="121">
        <f>Чум!C22</f>
        <v>0</v>
      </c>
      <c r="AE23" s="121">
        <f>Чум!D22</f>
        <v>2.0691</v>
      </c>
      <c r="AF23" s="119" t="e">
        <f t="shared" si="22"/>
        <v>#DIV/0!</v>
      </c>
      <c r="AG23" s="121"/>
      <c r="AH23" s="121">
        <f>Чум!D19</f>
        <v>0</v>
      </c>
      <c r="AI23" s="119" t="e">
        <f t="shared" si="23"/>
        <v>#DIV/0!</v>
      </c>
      <c r="AJ23" s="119">
        <f>Чум!C25</f>
        <v>30</v>
      </c>
      <c r="AK23" s="119">
        <f>Чум!D25</f>
        <v>60.2805</v>
      </c>
      <c r="AL23" s="119">
        <f t="shared" si="24"/>
        <v>200.935</v>
      </c>
      <c r="AM23" s="119">
        <f>Чум!C34</f>
        <v>1</v>
      </c>
      <c r="AN23" s="119">
        <f>Чум!D34</f>
        <v>159.24124</v>
      </c>
      <c r="AO23" s="119">
        <f t="shared" si="25"/>
        <v>15924.124</v>
      </c>
      <c r="AP23" s="119"/>
      <c r="AQ23" s="119"/>
      <c r="AR23" s="119"/>
      <c r="AS23" s="119"/>
      <c r="AT23" s="119"/>
      <c r="AU23" s="119" t="e">
        <f t="shared" si="26"/>
        <v>#DIV/0!</v>
      </c>
      <c r="AV23" s="119"/>
      <c r="AW23" s="119"/>
      <c r="AX23" s="122" t="e">
        <f t="shared" si="27"/>
        <v>#DIV/0!</v>
      </c>
      <c r="AY23" s="122"/>
      <c r="AZ23" s="122"/>
      <c r="BA23" s="122" t="e">
        <f t="shared" si="28"/>
        <v>#DIV/0!</v>
      </c>
      <c r="BB23" s="121">
        <f t="shared" si="46"/>
        <v>2250.143</v>
      </c>
      <c r="BC23" s="121">
        <f t="shared" si="47"/>
        <v>1928.6889999999999</v>
      </c>
      <c r="BD23" s="119">
        <f t="shared" si="48"/>
        <v>85.71406350618605</v>
      </c>
      <c r="BE23" s="123">
        <f>Чум!C40</f>
        <v>1563.2</v>
      </c>
      <c r="BF23" s="123">
        <f>Чум!D40</f>
        <v>1275.01</v>
      </c>
      <c r="BG23" s="119">
        <f t="shared" si="29"/>
        <v>81.56409928352097</v>
      </c>
      <c r="BH23" s="119"/>
      <c r="BI23" s="119"/>
      <c r="BJ23" s="119" t="e">
        <f t="shared" si="30"/>
        <v>#DIV/0!</v>
      </c>
      <c r="BK23" s="119">
        <f>Чум!C42</f>
        <v>573.3</v>
      </c>
      <c r="BL23" s="119">
        <f>Чум!D42</f>
        <v>540.06</v>
      </c>
      <c r="BM23" s="119">
        <f t="shared" si="2"/>
        <v>94.20198848770276</v>
      </c>
      <c r="BN23" s="119">
        <f>Чум!C43</f>
        <v>113.643</v>
      </c>
      <c r="BO23" s="119">
        <f>Чум!D43</f>
        <v>113.619</v>
      </c>
      <c r="BP23" s="119">
        <f t="shared" si="3"/>
        <v>99.97888123333597</v>
      </c>
      <c r="BQ23" s="119"/>
      <c r="BR23" s="119"/>
      <c r="BS23" s="119" t="e">
        <f t="shared" si="4"/>
        <v>#DIV/0!</v>
      </c>
      <c r="BT23" s="121"/>
      <c r="BU23" s="121"/>
      <c r="BV23" s="119" t="e">
        <f t="shared" si="31"/>
        <v>#DIV/0!</v>
      </c>
      <c r="BW23" s="119"/>
      <c r="BX23" s="119"/>
      <c r="BY23" s="119"/>
      <c r="BZ23" s="121">
        <f t="shared" si="5"/>
        <v>3324.543</v>
      </c>
      <c r="CA23" s="121">
        <f t="shared" si="6"/>
        <v>2234.35598</v>
      </c>
      <c r="CB23" s="119">
        <f t="shared" si="32"/>
        <v>67.20791338839653</v>
      </c>
      <c r="CC23" s="121">
        <f t="shared" si="33"/>
        <v>675.9817499999999</v>
      </c>
      <c r="CD23" s="121">
        <f t="shared" si="33"/>
        <v>422.05614</v>
      </c>
      <c r="CE23" s="119">
        <f t="shared" si="34"/>
        <v>62.4360258246617</v>
      </c>
      <c r="CF23" s="119">
        <f>Чум!C53</f>
        <v>663.583</v>
      </c>
      <c r="CG23" s="119">
        <f>Чум!D53</f>
        <v>422.05614</v>
      </c>
      <c r="CH23" s="119">
        <f t="shared" si="35"/>
        <v>63.60261489519774</v>
      </c>
      <c r="CI23" s="119">
        <f>Чум!C54</f>
        <v>3.8</v>
      </c>
      <c r="CJ23" s="119">
        <f>Чум!D54</f>
        <v>0</v>
      </c>
      <c r="CK23" s="119">
        <f t="shared" si="36"/>
        <v>0</v>
      </c>
      <c r="CL23" s="119">
        <f>Чум!C55</f>
        <v>8.59875</v>
      </c>
      <c r="CM23" s="119"/>
      <c r="CN23" s="119">
        <f t="shared" si="37"/>
        <v>0</v>
      </c>
      <c r="CO23" s="119"/>
      <c r="CP23" s="119"/>
      <c r="CQ23" s="119" t="e">
        <f t="shared" si="38"/>
        <v>#DIV/0!</v>
      </c>
      <c r="CR23" s="119">
        <f>Чум!C56</f>
        <v>113.56</v>
      </c>
      <c r="CS23" s="119">
        <f>Чум!D56</f>
        <v>60.68432</v>
      </c>
      <c r="CT23" s="119">
        <f t="shared" si="39"/>
        <v>53.43811201127158</v>
      </c>
      <c r="CU23" s="119">
        <f>Чум!C58</f>
        <v>23.20125</v>
      </c>
      <c r="CV23" s="119">
        <f>Чум!D58</f>
        <v>17.80125</v>
      </c>
      <c r="CW23" s="119">
        <f t="shared" si="40"/>
        <v>76.7253919508647</v>
      </c>
      <c r="CX23" s="121">
        <f>Чум!C62</f>
        <v>330.7</v>
      </c>
      <c r="CY23" s="121">
        <f>Чум!D62</f>
        <v>42.16645</v>
      </c>
      <c r="CZ23" s="119">
        <f t="shared" si="41"/>
        <v>12.750665255518598</v>
      </c>
      <c r="DA23" s="121">
        <f>Чум!C66</f>
        <v>715.4</v>
      </c>
      <c r="DB23" s="121">
        <f>Чум!D66</f>
        <v>604.56417</v>
      </c>
      <c r="DC23" s="119">
        <f t="shared" si="42"/>
        <v>84.50715264187866</v>
      </c>
      <c r="DD23" s="121">
        <f>Чум!C77</f>
        <v>918.3</v>
      </c>
      <c r="DE23" s="121">
        <f>Чум!D77</f>
        <v>610.28365</v>
      </c>
      <c r="DF23" s="119">
        <f t="shared" si="7"/>
        <v>66.45798214091255</v>
      </c>
      <c r="DG23" s="119">
        <f>Чум!C85</f>
        <v>407.1</v>
      </c>
      <c r="DH23" s="119">
        <f>Чум!D85</f>
        <v>407.1</v>
      </c>
      <c r="DI23" s="119">
        <f t="shared" si="8"/>
        <v>100</v>
      </c>
      <c r="DJ23" s="120">
        <f>Чум!C89</f>
        <v>8.9</v>
      </c>
      <c r="DK23" s="120">
        <f>Чум!D89</f>
        <v>4</v>
      </c>
      <c r="DL23" s="119">
        <f t="shared" si="43"/>
        <v>44.9438202247191</v>
      </c>
      <c r="DM23" s="119">
        <f>Чум!C99</f>
        <v>131.4</v>
      </c>
      <c r="DN23" s="119">
        <f>Чум!D99</f>
        <v>65.7</v>
      </c>
      <c r="DO23" s="119">
        <f t="shared" si="45"/>
        <v>50</v>
      </c>
      <c r="DP23" s="124">
        <f t="shared" si="9"/>
        <v>460.5999999999999</v>
      </c>
      <c r="DQ23" s="124">
        <f t="shared" si="10"/>
        <v>-370.9377099999997</v>
      </c>
      <c r="DR23" s="119">
        <f t="shared" si="44"/>
        <v>-80.53358879722097</v>
      </c>
    </row>
    <row r="24" spans="1:122" s="112" customFormat="1" ht="15" customHeight="1">
      <c r="A24" s="115">
        <v>12</v>
      </c>
      <c r="B24" s="116" t="s">
        <v>224</v>
      </c>
      <c r="C24" s="117">
        <f t="shared" si="11"/>
        <v>1907.454</v>
      </c>
      <c r="D24" s="133">
        <f t="shared" si="0"/>
        <v>1519.34598</v>
      </c>
      <c r="E24" s="119">
        <f t="shared" si="1"/>
        <v>79.65308626053368</v>
      </c>
      <c r="F24" s="120">
        <f t="shared" si="12"/>
        <v>321.5</v>
      </c>
      <c r="G24" s="120">
        <f t="shared" si="13"/>
        <v>243.18998000000002</v>
      </c>
      <c r="H24" s="119">
        <f t="shared" si="14"/>
        <v>75.64229548989114</v>
      </c>
      <c r="I24" s="121">
        <f>Шать!C7</f>
        <v>58.7</v>
      </c>
      <c r="J24" s="121">
        <f>Шать!D7</f>
        <v>48.71201</v>
      </c>
      <c r="K24" s="119">
        <f t="shared" si="15"/>
        <v>82.98468483816012</v>
      </c>
      <c r="L24" s="121">
        <f>Шать!C9</f>
        <v>6</v>
      </c>
      <c r="M24" s="121">
        <f>Шать!D9</f>
        <v>8.34903</v>
      </c>
      <c r="N24" s="119">
        <f t="shared" si="16"/>
        <v>139.15050000000002</v>
      </c>
      <c r="O24" s="121">
        <f>Шать!C12</f>
        <v>18.7</v>
      </c>
      <c r="P24" s="121">
        <f>Шать!D12</f>
        <v>8.88808</v>
      </c>
      <c r="Q24" s="119">
        <f t="shared" si="17"/>
        <v>47.529839572192515</v>
      </c>
      <c r="R24" s="121">
        <f>Шать!C11</f>
        <v>164</v>
      </c>
      <c r="S24" s="121">
        <f>Шать!D11</f>
        <v>125.89991</v>
      </c>
      <c r="T24" s="119">
        <f t="shared" si="18"/>
        <v>76.76823780487805</v>
      </c>
      <c r="U24" s="119">
        <f>Шать!C17</f>
        <v>3.1</v>
      </c>
      <c r="V24" s="119">
        <f>Шать!D17</f>
        <v>7.55</v>
      </c>
      <c r="W24" s="119">
        <f t="shared" si="19"/>
        <v>243.5483870967742</v>
      </c>
      <c r="X24" s="121">
        <f>Шать!C21</f>
        <v>17</v>
      </c>
      <c r="Y24" s="121">
        <f>Шать!D21</f>
        <v>20.04585</v>
      </c>
      <c r="Z24" s="119">
        <f t="shared" si="20"/>
        <v>117.91676470588237</v>
      </c>
      <c r="AA24" s="121"/>
      <c r="AB24" s="121"/>
      <c r="AC24" s="119" t="e">
        <f t="shared" si="21"/>
        <v>#DIV/0!</v>
      </c>
      <c r="AD24" s="121">
        <f>Шать!C22</f>
        <v>23</v>
      </c>
      <c r="AE24" s="121">
        <f>Шать!D22</f>
        <v>23.7451</v>
      </c>
      <c r="AF24" s="119">
        <f t="shared" si="22"/>
        <v>103.2395652173913</v>
      </c>
      <c r="AG24" s="121"/>
      <c r="AH24" s="121">
        <f>Шать!D19</f>
        <v>0</v>
      </c>
      <c r="AI24" s="119" t="e">
        <f t="shared" si="23"/>
        <v>#DIV/0!</v>
      </c>
      <c r="AJ24" s="119">
        <f>Шать!C25</f>
        <v>30</v>
      </c>
      <c r="AK24" s="119">
        <f>Шать!D25</f>
        <v>0</v>
      </c>
      <c r="AL24" s="119">
        <f t="shared" si="24"/>
        <v>0</v>
      </c>
      <c r="AM24" s="127">
        <f>Шать!C34</f>
        <v>1</v>
      </c>
      <c r="AN24" s="127">
        <f>Шать!D34</f>
        <v>0</v>
      </c>
      <c r="AO24" s="119">
        <f t="shared" si="25"/>
        <v>0</v>
      </c>
      <c r="AP24" s="119"/>
      <c r="AQ24" s="119"/>
      <c r="AR24" s="119"/>
      <c r="AS24" s="119"/>
      <c r="AT24" s="119"/>
      <c r="AU24" s="119" t="e">
        <f t="shared" si="26"/>
        <v>#DIV/0!</v>
      </c>
      <c r="AV24" s="119"/>
      <c r="AW24" s="119"/>
      <c r="AX24" s="122" t="e">
        <f t="shared" si="27"/>
        <v>#DIV/0!</v>
      </c>
      <c r="AY24" s="122"/>
      <c r="AZ24" s="122"/>
      <c r="BA24" s="122" t="e">
        <f t="shared" si="28"/>
        <v>#DIV/0!</v>
      </c>
      <c r="BB24" s="121">
        <f t="shared" si="46"/>
        <v>1585.954</v>
      </c>
      <c r="BC24" s="121">
        <f t="shared" si="47"/>
        <v>1276.156</v>
      </c>
      <c r="BD24" s="119">
        <f t="shared" si="48"/>
        <v>80.46614214535856</v>
      </c>
      <c r="BE24" s="123">
        <f>Шать!C40</f>
        <v>1353.2</v>
      </c>
      <c r="BF24" s="123">
        <f>Шать!D40</f>
        <v>1105.81</v>
      </c>
      <c r="BG24" s="119">
        <f t="shared" si="29"/>
        <v>81.71814957138633</v>
      </c>
      <c r="BH24" s="119">
        <f>Шать!C41</f>
        <v>50</v>
      </c>
      <c r="BI24" s="119">
        <f>Шать!D41</f>
        <v>41.7</v>
      </c>
      <c r="BJ24" s="119">
        <f t="shared" si="30"/>
        <v>83.4</v>
      </c>
      <c r="BK24" s="119">
        <f>Шать!C42</f>
        <v>128.1</v>
      </c>
      <c r="BL24" s="119">
        <f>Шать!D42</f>
        <v>74.01</v>
      </c>
      <c r="BM24" s="119">
        <f t="shared" si="2"/>
        <v>57.77517564402811</v>
      </c>
      <c r="BN24" s="119">
        <f>Шать!C43</f>
        <v>54.654</v>
      </c>
      <c r="BO24" s="119">
        <f>Шать!D43</f>
        <v>54.636</v>
      </c>
      <c r="BP24" s="119">
        <f t="shared" si="3"/>
        <v>99.96706553957624</v>
      </c>
      <c r="BQ24" s="119"/>
      <c r="BR24" s="119"/>
      <c r="BS24" s="119" t="e">
        <f t="shared" si="4"/>
        <v>#DIV/0!</v>
      </c>
      <c r="BT24" s="121"/>
      <c r="BU24" s="121"/>
      <c r="BV24" s="119" t="e">
        <f t="shared" si="31"/>
        <v>#DIV/0!</v>
      </c>
      <c r="BW24" s="119"/>
      <c r="BX24" s="119"/>
      <c r="BY24" s="119"/>
      <c r="BZ24" s="121">
        <f t="shared" si="5"/>
        <v>2107.454</v>
      </c>
      <c r="CA24" s="121">
        <f t="shared" si="6"/>
        <v>1287.7793800000002</v>
      </c>
      <c r="CB24" s="119">
        <f t="shared" si="32"/>
        <v>61.10593066325528</v>
      </c>
      <c r="CC24" s="121">
        <f t="shared" si="33"/>
        <v>670.76275</v>
      </c>
      <c r="CD24" s="121">
        <f t="shared" si="33"/>
        <v>477.46044</v>
      </c>
      <c r="CE24" s="119">
        <f t="shared" si="34"/>
        <v>71.18171663527826</v>
      </c>
      <c r="CF24" s="119">
        <f>Шать!C53</f>
        <v>662.164</v>
      </c>
      <c r="CG24" s="119">
        <f>Шать!D53</f>
        <v>477.46044</v>
      </c>
      <c r="CH24" s="119">
        <f t="shared" si="35"/>
        <v>72.10607039947807</v>
      </c>
      <c r="CI24" s="119"/>
      <c r="CJ24" s="119"/>
      <c r="CK24" s="119" t="e">
        <f t="shared" si="36"/>
        <v>#DIV/0!</v>
      </c>
      <c r="CL24" s="119">
        <f>Шать!C55</f>
        <v>8.59875</v>
      </c>
      <c r="CM24" s="119"/>
      <c r="CN24" s="119">
        <f t="shared" si="37"/>
        <v>0</v>
      </c>
      <c r="CO24" s="119"/>
      <c r="CP24" s="119"/>
      <c r="CQ24" s="119" t="e">
        <f t="shared" si="38"/>
        <v>#DIV/0!</v>
      </c>
      <c r="CR24" s="119">
        <f>Шать!C56</f>
        <v>54.59</v>
      </c>
      <c r="CS24" s="119">
        <f>Шать!D56</f>
        <v>28.98713</v>
      </c>
      <c r="CT24" s="119">
        <f t="shared" si="39"/>
        <v>53.099706906026746</v>
      </c>
      <c r="CU24" s="119">
        <f>Шать!C58</f>
        <v>70.90125</v>
      </c>
      <c r="CV24" s="119">
        <f>Шать!D58</f>
        <v>2.90107</v>
      </c>
      <c r="CW24" s="119">
        <f t="shared" si="40"/>
        <v>4.091705012252957</v>
      </c>
      <c r="CX24" s="121">
        <f>Шать!C62</f>
        <v>48</v>
      </c>
      <c r="CY24" s="121">
        <f>Шать!D62</f>
        <v>0</v>
      </c>
      <c r="CZ24" s="119">
        <f t="shared" si="41"/>
        <v>0</v>
      </c>
      <c r="DA24" s="121">
        <f>Шать!C66</f>
        <v>567.1</v>
      </c>
      <c r="DB24" s="121">
        <f>Шать!D66</f>
        <v>305.38179</v>
      </c>
      <c r="DC24" s="119">
        <f t="shared" si="42"/>
        <v>53.849724916240525</v>
      </c>
      <c r="DD24" s="129">
        <f>Шать!C77</f>
        <v>689.3</v>
      </c>
      <c r="DE24" s="129">
        <f>Шать!D77</f>
        <v>469.84895</v>
      </c>
      <c r="DF24" s="119">
        <f t="shared" si="7"/>
        <v>68.16320179892645</v>
      </c>
      <c r="DG24" s="119">
        <f>Шать!C85</f>
        <v>0</v>
      </c>
      <c r="DH24" s="119">
        <f>Шать!D85</f>
        <v>0</v>
      </c>
      <c r="DI24" s="119" t="e">
        <f t="shared" si="8"/>
        <v>#DIV/0!</v>
      </c>
      <c r="DJ24" s="120">
        <f>Шать!C89</f>
        <v>6.8</v>
      </c>
      <c r="DK24" s="120">
        <f>Шать!D89</f>
        <v>3.2</v>
      </c>
      <c r="DL24" s="119">
        <f t="shared" si="43"/>
        <v>47.05882352941177</v>
      </c>
      <c r="DM24" s="119">
        <f>Шать!C99</f>
        <v>0</v>
      </c>
      <c r="DN24" s="119">
        <f>Шать!D99</f>
        <v>0</v>
      </c>
      <c r="DO24" s="119" t="e">
        <f t="shared" si="45"/>
        <v>#DIV/0!</v>
      </c>
      <c r="DP24" s="124">
        <f t="shared" si="9"/>
        <v>200.00000000000023</v>
      </c>
      <c r="DQ24" s="124">
        <f t="shared" si="10"/>
        <v>-231.56659999999988</v>
      </c>
      <c r="DR24" s="119">
        <f t="shared" si="44"/>
        <v>-115.78329999999981</v>
      </c>
    </row>
    <row r="25" spans="1:122" s="112" customFormat="1" ht="15" customHeight="1">
      <c r="A25" s="115">
        <v>13</v>
      </c>
      <c r="B25" s="116" t="s">
        <v>304</v>
      </c>
      <c r="C25" s="117">
        <f t="shared" si="11"/>
        <v>3352.358</v>
      </c>
      <c r="D25" s="133">
        <f t="shared" si="0"/>
        <v>2780.25468</v>
      </c>
      <c r="E25" s="119">
        <f t="shared" si="1"/>
        <v>82.93430116950516</v>
      </c>
      <c r="F25" s="120">
        <f t="shared" si="12"/>
        <v>786.8</v>
      </c>
      <c r="G25" s="120">
        <f t="shared" si="13"/>
        <v>827.58968</v>
      </c>
      <c r="H25" s="119">
        <f t="shared" si="14"/>
        <v>105.18425012709712</v>
      </c>
      <c r="I25" s="121">
        <f>Юнг!C7</f>
        <v>200.1</v>
      </c>
      <c r="J25" s="121">
        <f>Юнг!D7</f>
        <v>204.20678</v>
      </c>
      <c r="K25" s="119">
        <f t="shared" si="15"/>
        <v>102.05236381809095</v>
      </c>
      <c r="L25" s="121">
        <f>Юнг!C9</f>
        <v>1</v>
      </c>
      <c r="M25" s="121">
        <f>Юнг!D9</f>
        <v>0.14541</v>
      </c>
      <c r="N25" s="119">
        <f t="shared" si="16"/>
        <v>14.541</v>
      </c>
      <c r="O25" s="121">
        <f>Юнг!C12</f>
        <v>16.5</v>
      </c>
      <c r="P25" s="121">
        <f>Юнг!D12</f>
        <v>10.23094</v>
      </c>
      <c r="Q25" s="119">
        <f t="shared" si="17"/>
        <v>62.00569696969698</v>
      </c>
      <c r="R25" s="121">
        <f>Юнг!C11</f>
        <v>273</v>
      </c>
      <c r="S25" s="121">
        <f>Юнг!D11</f>
        <v>144.76226</v>
      </c>
      <c r="T25" s="119">
        <f t="shared" si="18"/>
        <v>53.02646886446887</v>
      </c>
      <c r="U25" s="119">
        <f>Юнг!C17</f>
        <v>10.2</v>
      </c>
      <c r="V25" s="119">
        <f>Юнг!D17</f>
        <v>8.82</v>
      </c>
      <c r="W25" s="119">
        <f t="shared" si="19"/>
        <v>86.47058823529412</v>
      </c>
      <c r="X25" s="121">
        <f>Юнг!C21</f>
        <v>180</v>
      </c>
      <c r="Y25" s="121">
        <f>Юнг!D21</f>
        <v>424.75174</v>
      </c>
      <c r="Z25" s="119">
        <f t="shared" si="20"/>
        <v>235.97318888888887</v>
      </c>
      <c r="AA25" s="121"/>
      <c r="AB25" s="121"/>
      <c r="AC25" s="119" t="e">
        <f t="shared" si="21"/>
        <v>#DIV/0!</v>
      </c>
      <c r="AD25" s="121">
        <f>Юнг!C22</f>
        <v>25</v>
      </c>
      <c r="AE25" s="121">
        <f>Юнг!D22</f>
        <v>18.22276</v>
      </c>
      <c r="AF25" s="119">
        <f t="shared" si="22"/>
        <v>72.89104</v>
      </c>
      <c r="AG25" s="121"/>
      <c r="AH25" s="121">
        <f>Юнг!D19</f>
        <v>0</v>
      </c>
      <c r="AI25" s="119" t="e">
        <f t="shared" si="23"/>
        <v>#DIV/0!</v>
      </c>
      <c r="AJ25" s="119">
        <f>Юнг!C25</f>
        <v>80</v>
      </c>
      <c r="AK25" s="119">
        <f>Юнг!D25</f>
        <v>15.94979</v>
      </c>
      <c r="AL25" s="119">
        <f t="shared" si="24"/>
        <v>19.9372375</v>
      </c>
      <c r="AM25" s="119">
        <f>Юнг!C34</f>
        <v>1</v>
      </c>
      <c r="AN25" s="119">
        <f>Юнг!D34</f>
        <v>0</v>
      </c>
      <c r="AO25" s="119">
        <f t="shared" si="25"/>
        <v>0</v>
      </c>
      <c r="AP25" s="119"/>
      <c r="AQ25" s="119">
        <f>Юнг!D35</f>
        <v>10</v>
      </c>
      <c r="AR25" s="119"/>
      <c r="AS25" s="119"/>
      <c r="AT25" s="119">
        <f>Юнг!D36</f>
        <v>-9.5</v>
      </c>
      <c r="AU25" s="119" t="e">
        <f t="shared" si="26"/>
        <v>#DIV/0!</v>
      </c>
      <c r="AV25" s="119"/>
      <c r="AW25" s="119"/>
      <c r="AX25" s="122" t="e">
        <f t="shared" si="27"/>
        <v>#DIV/0!</v>
      </c>
      <c r="AY25" s="122"/>
      <c r="AZ25" s="122"/>
      <c r="BA25" s="122" t="e">
        <f t="shared" si="28"/>
        <v>#DIV/0!</v>
      </c>
      <c r="BB25" s="121">
        <f t="shared" si="46"/>
        <v>2565.558</v>
      </c>
      <c r="BC25" s="121">
        <f t="shared" si="47"/>
        <v>1952.6650000000002</v>
      </c>
      <c r="BD25" s="119">
        <f t="shared" si="48"/>
        <v>76.11073302571995</v>
      </c>
      <c r="BE25" s="123">
        <f>Юнг!C40</f>
        <v>1869.4</v>
      </c>
      <c r="BF25" s="123">
        <f>Юнг!D40</f>
        <v>1524.45</v>
      </c>
      <c r="BG25" s="119">
        <f t="shared" si="29"/>
        <v>81.54755536535787</v>
      </c>
      <c r="BH25" s="119"/>
      <c r="BI25" s="119"/>
      <c r="BJ25" s="119" t="e">
        <f t="shared" si="30"/>
        <v>#DIV/0!</v>
      </c>
      <c r="BK25" s="119">
        <f>Юнг!C42</f>
        <v>582.486</v>
      </c>
      <c r="BL25" s="119">
        <f>Юнг!D42</f>
        <v>314.571</v>
      </c>
      <c r="BM25" s="119">
        <f t="shared" si="2"/>
        <v>54.004903122135126</v>
      </c>
      <c r="BN25" s="119">
        <f>Юнг!C43</f>
        <v>113.672</v>
      </c>
      <c r="BO25" s="119">
        <f>Юнг!D43</f>
        <v>113.644</v>
      </c>
      <c r="BP25" s="119">
        <f t="shared" si="3"/>
        <v>99.97536772468155</v>
      </c>
      <c r="BQ25" s="119"/>
      <c r="BR25" s="119"/>
      <c r="BS25" s="119" t="e">
        <f t="shared" si="4"/>
        <v>#DIV/0!</v>
      </c>
      <c r="BT25" s="121"/>
      <c r="BU25" s="121"/>
      <c r="BV25" s="119" t="e">
        <f t="shared" si="31"/>
        <v>#DIV/0!</v>
      </c>
      <c r="BW25" s="119"/>
      <c r="BX25" s="119"/>
      <c r="BY25" s="119"/>
      <c r="BZ25" s="121">
        <f t="shared" si="5"/>
        <v>3756.358</v>
      </c>
      <c r="CA25" s="121">
        <f t="shared" si="6"/>
        <v>2092.07071</v>
      </c>
      <c r="CB25" s="119">
        <f t="shared" si="32"/>
        <v>55.69412473464988</v>
      </c>
      <c r="CC25" s="121">
        <f t="shared" si="33"/>
        <v>746.902</v>
      </c>
      <c r="CD25" s="121">
        <f t="shared" si="33"/>
        <v>519.0715</v>
      </c>
      <c r="CE25" s="119">
        <f t="shared" si="34"/>
        <v>69.49660062498158</v>
      </c>
      <c r="CF25" s="119">
        <f>Юнг!C53</f>
        <v>726.902</v>
      </c>
      <c r="CG25" s="119">
        <f>Юнг!D53</f>
        <v>519.0715</v>
      </c>
      <c r="CH25" s="119">
        <f t="shared" si="35"/>
        <v>71.40873185106108</v>
      </c>
      <c r="CI25" s="119"/>
      <c r="CJ25" s="119"/>
      <c r="CK25" s="119" t="e">
        <f t="shared" si="36"/>
        <v>#DIV/0!</v>
      </c>
      <c r="CL25" s="119">
        <f>Юнг!C55</f>
        <v>20</v>
      </c>
      <c r="CM25" s="119"/>
      <c r="CN25" s="119">
        <f t="shared" si="37"/>
        <v>0</v>
      </c>
      <c r="CO25" s="119"/>
      <c r="CP25" s="119"/>
      <c r="CQ25" s="119" t="e">
        <f t="shared" si="38"/>
        <v>#DIV/0!</v>
      </c>
      <c r="CR25" s="119">
        <f>Юнг!C56</f>
        <v>113.57</v>
      </c>
      <c r="CS25" s="119">
        <f>Юнг!D56</f>
        <v>88.78705</v>
      </c>
      <c r="CT25" s="119">
        <f t="shared" si="39"/>
        <v>78.17826010390067</v>
      </c>
      <c r="CU25" s="119">
        <f>Юнг!C58</f>
        <v>17.7</v>
      </c>
      <c r="CV25" s="119">
        <f>Юнг!D58</f>
        <v>12.01</v>
      </c>
      <c r="CW25" s="119">
        <f t="shared" si="40"/>
        <v>67.85310734463278</v>
      </c>
      <c r="CX25" s="121">
        <f>Юнг!C62</f>
        <v>423.8</v>
      </c>
      <c r="CY25" s="121">
        <f>Юнг!D62</f>
        <v>215.46548</v>
      </c>
      <c r="CZ25" s="119">
        <f t="shared" si="41"/>
        <v>50.84131193959415</v>
      </c>
      <c r="DA25" s="121">
        <f>Юнг!C66</f>
        <v>970.5</v>
      </c>
      <c r="DB25" s="121">
        <f>Юнг!D66</f>
        <v>539.3924</v>
      </c>
      <c r="DC25" s="119">
        <f t="shared" si="42"/>
        <v>55.57881504379185</v>
      </c>
      <c r="DD25" s="121">
        <f>Юнг!C77</f>
        <v>932.8</v>
      </c>
      <c r="DE25" s="121">
        <f>Юнг!D77</f>
        <v>597.56928</v>
      </c>
      <c r="DF25" s="119">
        <f t="shared" si="7"/>
        <v>64.06188679245284</v>
      </c>
      <c r="DG25" s="119">
        <f>Юнг!C85</f>
        <v>380.586</v>
      </c>
      <c r="DH25" s="119">
        <f>Юнг!D85</f>
        <v>0</v>
      </c>
      <c r="DI25" s="119">
        <f t="shared" si="8"/>
        <v>0</v>
      </c>
      <c r="DJ25" s="120">
        <f>Юнг!C89</f>
        <v>10.8</v>
      </c>
      <c r="DK25" s="120">
        <f>Юнг!D89</f>
        <v>0</v>
      </c>
      <c r="DL25" s="119">
        <f t="shared" si="43"/>
        <v>0</v>
      </c>
      <c r="DM25" s="119">
        <f>Юнг!C99</f>
        <v>159.7</v>
      </c>
      <c r="DN25" s="119">
        <f>Юнг!D99</f>
        <v>119.775</v>
      </c>
      <c r="DO25" s="119">
        <f t="shared" si="45"/>
        <v>75.00000000000001</v>
      </c>
      <c r="DP25" s="124">
        <f t="shared" si="9"/>
        <v>404</v>
      </c>
      <c r="DQ25" s="124">
        <f t="shared" si="10"/>
        <v>-688.18397</v>
      </c>
      <c r="DR25" s="119">
        <f t="shared" si="44"/>
        <v>-170.34256683168317</v>
      </c>
    </row>
    <row r="26" spans="1:122" s="112" customFormat="1" ht="15" customHeight="1">
      <c r="A26" s="115">
        <v>14</v>
      </c>
      <c r="B26" s="116" t="s">
        <v>305</v>
      </c>
      <c r="C26" s="117">
        <f t="shared" si="11"/>
        <v>3815.585</v>
      </c>
      <c r="D26" s="133">
        <f t="shared" si="0"/>
        <v>2906.81328</v>
      </c>
      <c r="E26" s="119">
        <f t="shared" si="1"/>
        <v>76.18263726270021</v>
      </c>
      <c r="F26" s="120">
        <f t="shared" si="12"/>
        <v>880.5</v>
      </c>
      <c r="G26" s="120">
        <f t="shared" si="13"/>
        <v>533.3512799999999</v>
      </c>
      <c r="H26" s="119">
        <f t="shared" si="14"/>
        <v>60.57368313458261</v>
      </c>
      <c r="I26" s="121">
        <f>Юськ!C7</f>
        <v>392.8</v>
      </c>
      <c r="J26" s="121">
        <f>Юськ!D7</f>
        <v>185.96131</v>
      </c>
      <c r="K26" s="119">
        <f t="shared" si="15"/>
        <v>47.342492362525455</v>
      </c>
      <c r="L26" s="121">
        <f>Юськ!C9</f>
        <v>20</v>
      </c>
      <c r="M26" s="121">
        <f>Юськ!D9</f>
        <v>1.42555</v>
      </c>
      <c r="N26" s="119">
        <f t="shared" si="16"/>
        <v>7.127750000000001</v>
      </c>
      <c r="O26" s="121">
        <f>Юськ!C12</f>
        <v>33.8</v>
      </c>
      <c r="P26" s="121">
        <f>Юськ!D12</f>
        <v>13.48977</v>
      </c>
      <c r="Q26" s="119">
        <f t="shared" si="17"/>
        <v>39.91056213017752</v>
      </c>
      <c r="R26" s="129">
        <f>Юськ!C11</f>
        <v>338.4</v>
      </c>
      <c r="S26" s="199">
        <f>Юськ!D11</f>
        <v>241.30522</v>
      </c>
      <c r="T26" s="119">
        <f t="shared" si="18"/>
        <v>71.30768912529551</v>
      </c>
      <c r="U26" s="119">
        <f>Юськ!C17</f>
        <v>15.5</v>
      </c>
      <c r="V26" s="119">
        <f>Юськ!D17</f>
        <v>10.585</v>
      </c>
      <c r="W26" s="119">
        <f t="shared" si="19"/>
        <v>68.29032258064517</v>
      </c>
      <c r="X26" s="121">
        <f>Юськ!C21</f>
        <v>34</v>
      </c>
      <c r="Y26" s="121">
        <f>Юськ!D21</f>
        <v>29.53441</v>
      </c>
      <c r="Z26" s="119">
        <f t="shared" si="20"/>
        <v>86.86591176470588</v>
      </c>
      <c r="AA26" s="121"/>
      <c r="AB26" s="121"/>
      <c r="AC26" s="119" t="e">
        <f t="shared" si="21"/>
        <v>#DIV/0!</v>
      </c>
      <c r="AD26" s="121">
        <f>Юськ!C22</f>
        <v>15</v>
      </c>
      <c r="AE26" s="121">
        <f>Юськ!D22</f>
        <v>35.84602</v>
      </c>
      <c r="AF26" s="119">
        <f t="shared" si="22"/>
        <v>238.9734666666667</v>
      </c>
      <c r="AG26" s="121"/>
      <c r="AH26" s="121">
        <f>Юськ!D19</f>
        <v>0</v>
      </c>
      <c r="AI26" s="119" t="e">
        <f t="shared" si="23"/>
        <v>#DIV/0!</v>
      </c>
      <c r="AJ26" s="119">
        <f>Юськ!C25</f>
        <v>30</v>
      </c>
      <c r="AK26" s="119">
        <f>Юськ!D25</f>
        <v>0</v>
      </c>
      <c r="AL26" s="119">
        <f t="shared" si="24"/>
        <v>0</v>
      </c>
      <c r="AM26" s="127">
        <f>Юськ!C34</f>
        <v>1</v>
      </c>
      <c r="AN26" s="127">
        <f>Юськ!D34</f>
        <v>0</v>
      </c>
      <c r="AO26" s="119">
        <f t="shared" si="25"/>
        <v>0</v>
      </c>
      <c r="AP26" s="119"/>
      <c r="AQ26" s="119">
        <f>Юськ!D35</f>
        <v>15.204</v>
      </c>
      <c r="AR26" s="119"/>
      <c r="AS26" s="119"/>
      <c r="AT26" s="160"/>
      <c r="AU26" s="119" t="e">
        <f t="shared" si="26"/>
        <v>#DIV/0!</v>
      </c>
      <c r="AV26" s="119"/>
      <c r="AW26" s="119"/>
      <c r="AX26" s="122" t="e">
        <f t="shared" si="27"/>
        <v>#DIV/0!</v>
      </c>
      <c r="AY26" s="122"/>
      <c r="AZ26" s="122"/>
      <c r="BA26" s="122" t="e">
        <f t="shared" si="28"/>
        <v>#DIV/0!</v>
      </c>
      <c r="BB26" s="121">
        <f t="shared" si="46"/>
        <v>2935.085</v>
      </c>
      <c r="BC26" s="121">
        <f t="shared" si="47"/>
        <v>2373.462</v>
      </c>
      <c r="BD26" s="119">
        <f t="shared" si="48"/>
        <v>80.8651878906403</v>
      </c>
      <c r="BE26" s="123">
        <f>Юськ!C40</f>
        <v>2140.9</v>
      </c>
      <c r="BF26" s="123">
        <f>Юськ!D40</f>
        <v>1745.63</v>
      </c>
      <c r="BG26" s="119">
        <f t="shared" si="29"/>
        <v>81.53720397963473</v>
      </c>
      <c r="BH26" s="119">
        <f>Юськ!C41</f>
        <v>449.4</v>
      </c>
      <c r="BI26" s="119">
        <f>Юськ!D41</f>
        <v>374.6</v>
      </c>
      <c r="BJ26" s="119">
        <f t="shared" si="30"/>
        <v>83.35558522474412</v>
      </c>
      <c r="BK26" s="119">
        <f>Юськ!C42</f>
        <v>231.1</v>
      </c>
      <c r="BL26" s="119">
        <f>Юськ!D42</f>
        <v>139.578</v>
      </c>
      <c r="BM26" s="119">
        <f t="shared" si="2"/>
        <v>60.397230636088274</v>
      </c>
      <c r="BN26" s="119">
        <f>Юськ!C43</f>
        <v>113.685</v>
      </c>
      <c r="BO26" s="119">
        <f>Юськ!D43</f>
        <v>113.654</v>
      </c>
      <c r="BP26" s="119">
        <f t="shared" si="3"/>
        <v>99.97273167084487</v>
      </c>
      <c r="BQ26" s="119"/>
      <c r="BR26" s="119"/>
      <c r="BS26" s="119" t="e">
        <f t="shared" si="4"/>
        <v>#DIV/0!</v>
      </c>
      <c r="BT26" s="121"/>
      <c r="BU26" s="121"/>
      <c r="BV26" s="119" t="e">
        <f t="shared" si="31"/>
        <v>#DIV/0!</v>
      </c>
      <c r="BW26" s="119"/>
      <c r="BX26" s="119"/>
      <c r="BY26" s="119"/>
      <c r="BZ26" s="121">
        <f t="shared" si="5"/>
        <v>3815.585</v>
      </c>
      <c r="CA26" s="121">
        <f t="shared" si="6"/>
        <v>2620.10962</v>
      </c>
      <c r="CB26" s="119">
        <f t="shared" si="32"/>
        <v>68.66862145647391</v>
      </c>
      <c r="CC26" s="121">
        <f t="shared" si="33"/>
        <v>708.31375</v>
      </c>
      <c r="CD26" s="121">
        <f t="shared" si="33"/>
        <v>527.68677</v>
      </c>
      <c r="CE26" s="119">
        <f t="shared" si="34"/>
        <v>74.49901544336814</v>
      </c>
      <c r="CF26" s="119">
        <f>Юськ!C53</f>
        <v>699.715</v>
      </c>
      <c r="CG26" s="119">
        <f>Юськ!D53</f>
        <v>527.68677</v>
      </c>
      <c r="CH26" s="119">
        <f t="shared" si="35"/>
        <v>75.41452877242878</v>
      </c>
      <c r="CI26" s="119"/>
      <c r="CJ26" s="119"/>
      <c r="CK26" s="119" t="e">
        <f t="shared" si="36"/>
        <v>#DIV/0!</v>
      </c>
      <c r="CL26" s="119">
        <f>Юськ!C55</f>
        <v>8.59875</v>
      </c>
      <c r="CM26" s="119"/>
      <c r="CN26" s="119">
        <f t="shared" si="37"/>
        <v>0</v>
      </c>
      <c r="CO26" s="119"/>
      <c r="CP26" s="119"/>
      <c r="CQ26" s="119" t="e">
        <f t="shared" si="38"/>
        <v>#DIV/0!</v>
      </c>
      <c r="CR26" s="119">
        <f>Юськ!C56</f>
        <v>113.57</v>
      </c>
      <c r="CS26" s="119">
        <f>Юськ!D56</f>
        <v>74.53051</v>
      </c>
      <c r="CT26" s="119">
        <f t="shared" si="39"/>
        <v>65.62517390155853</v>
      </c>
      <c r="CU26" s="119">
        <f>Юськ!C58</f>
        <v>71.40125</v>
      </c>
      <c r="CV26" s="119">
        <f>Юськ!D58</f>
        <v>42.40125</v>
      </c>
      <c r="CW26" s="119">
        <f t="shared" si="40"/>
        <v>59.384464557693306</v>
      </c>
      <c r="CX26" s="121">
        <f>Юськ!C62</f>
        <v>50</v>
      </c>
      <c r="CY26" s="121">
        <f>Юськ!D62</f>
        <v>0.30521</v>
      </c>
      <c r="CZ26" s="119">
        <f t="shared" si="41"/>
        <v>0.61042</v>
      </c>
      <c r="DA26" s="121">
        <f>Юськ!C66</f>
        <v>711.1</v>
      </c>
      <c r="DB26" s="121">
        <f>Юськ!D66</f>
        <v>479.07036</v>
      </c>
      <c r="DC26" s="119">
        <f t="shared" si="42"/>
        <v>67.37032203628182</v>
      </c>
      <c r="DD26" s="129">
        <f>Юськ!C77</f>
        <v>2023</v>
      </c>
      <c r="DE26" s="129">
        <f>Юськ!D77</f>
        <v>1401.52852</v>
      </c>
      <c r="DF26" s="119">
        <f t="shared" si="7"/>
        <v>69.27970934256055</v>
      </c>
      <c r="DG26" s="119">
        <f>Юськ!C85</f>
        <v>0</v>
      </c>
      <c r="DH26" s="119">
        <f>Юськ!D85</f>
        <v>0</v>
      </c>
      <c r="DI26" s="119" t="e">
        <f t="shared" si="8"/>
        <v>#DIV/0!</v>
      </c>
      <c r="DJ26" s="120">
        <f>Юськ!C89</f>
        <v>5.5</v>
      </c>
      <c r="DK26" s="120">
        <f>Юськ!D89</f>
        <v>3.237</v>
      </c>
      <c r="DL26" s="119">
        <f t="shared" si="43"/>
        <v>58.85454545454546</v>
      </c>
      <c r="DM26" s="119">
        <f>Юськ!C99</f>
        <v>132.7</v>
      </c>
      <c r="DN26" s="119">
        <f>Юськ!D99</f>
        <v>91.35</v>
      </c>
      <c r="DO26" s="119">
        <f t="shared" si="45"/>
        <v>68.83948756593821</v>
      </c>
      <c r="DP26" s="124">
        <f t="shared" si="9"/>
        <v>0</v>
      </c>
      <c r="DQ26" s="124">
        <f t="shared" si="10"/>
        <v>-286.7036599999997</v>
      </c>
      <c r="DR26" s="119" t="e">
        <f t="shared" si="44"/>
        <v>#DIV/0!</v>
      </c>
    </row>
    <row r="27" spans="1:122" s="112" customFormat="1" ht="15" customHeight="1">
      <c r="A27" s="115">
        <v>15</v>
      </c>
      <c r="B27" s="116" t="s">
        <v>306</v>
      </c>
      <c r="C27" s="117">
        <f t="shared" si="11"/>
        <v>4787.258</v>
      </c>
      <c r="D27" s="133">
        <f t="shared" si="0"/>
        <v>3914.0318</v>
      </c>
      <c r="E27" s="119">
        <f t="shared" si="1"/>
        <v>81.75936621757174</v>
      </c>
      <c r="F27" s="120">
        <f t="shared" si="12"/>
        <v>670.6</v>
      </c>
      <c r="G27" s="120">
        <f t="shared" si="13"/>
        <v>414.01980000000003</v>
      </c>
      <c r="H27" s="119">
        <f t="shared" si="14"/>
        <v>61.738711601550854</v>
      </c>
      <c r="I27" s="121">
        <f>Яраб!C7</f>
        <v>291.8</v>
      </c>
      <c r="J27" s="121">
        <f>Яраб!D7</f>
        <v>144.43512</v>
      </c>
      <c r="K27" s="119">
        <f t="shared" si="15"/>
        <v>49.49798492117889</v>
      </c>
      <c r="L27" s="121">
        <f>Яраб!C9</f>
        <v>10.6</v>
      </c>
      <c r="M27" s="121">
        <f>Яраб!D9</f>
        <v>9.9516</v>
      </c>
      <c r="N27" s="119">
        <f t="shared" si="16"/>
        <v>93.88301886792453</v>
      </c>
      <c r="O27" s="121">
        <f>Яраб!C12</f>
        <v>31.6</v>
      </c>
      <c r="P27" s="121">
        <f>Яраб!D12</f>
        <v>13.60644</v>
      </c>
      <c r="Q27" s="119">
        <f t="shared" si="17"/>
        <v>43.058354430379744</v>
      </c>
      <c r="R27" s="121">
        <f>Яраб!C11</f>
        <v>229.6</v>
      </c>
      <c r="S27" s="121">
        <f>Яраб!D11</f>
        <v>174.9607</v>
      </c>
      <c r="T27" s="119">
        <f t="shared" si="18"/>
        <v>76.20239547038328</v>
      </c>
      <c r="U27" s="119">
        <f>Яраб!C17</f>
        <v>21</v>
      </c>
      <c r="V27" s="119">
        <f>Яраб!D17</f>
        <v>15.48324</v>
      </c>
      <c r="W27" s="119">
        <f t="shared" si="19"/>
        <v>73.7297142857143</v>
      </c>
      <c r="X27" s="121">
        <f>Яраб!C21</f>
        <v>25</v>
      </c>
      <c r="Y27" s="121">
        <f>Яраб!D21</f>
        <v>31.9051</v>
      </c>
      <c r="Z27" s="119">
        <f t="shared" si="20"/>
        <v>127.62040000000002</v>
      </c>
      <c r="AA27" s="121"/>
      <c r="AB27" s="121"/>
      <c r="AC27" s="119" t="e">
        <f t="shared" si="21"/>
        <v>#DIV/0!</v>
      </c>
      <c r="AD27" s="121">
        <f>Яраб!C22</f>
        <v>20</v>
      </c>
      <c r="AE27" s="121">
        <f>Яраб!D22</f>
        <v>2.0691</v>
      </c>
      <c r="AF27" s="119">
        <f t="shared" si="22"/>
        <v>10.345500000000001</v>
      </c>
      <c r="AG27" s="121"/>
      <c r="AH27" s="121">
        <f>Яраб!D19</f>
        <v>0</v>
      </c>
      <c r="AI27" s="119" t="e">
        <f t="shared" si="23"/>
        <v>#DIV/0!</v>
      </c>
      <c r="AJ27" s="119">
        <f>Яраб!C25</f>
        <v>40</v>
      </c>
      <c r="AK27" s="119">
        <f>Яраб!D25</f>
        <v>11.6085</v>
      </c>
      <c r="AL27" s="119">
        <f t="shared" si="24"/>
        <v>29.02125</v>
      </c>
      <c r="AM27" s="119">
        <f>Яраб!C34</f>
        <v>1</v>
      </c>
      <c r="AN27" s="119">
        <f>Яраб!D34</f>
        <v>0</v>
      </c>
      <c r="AO27" s="119">
        <f t="shared" si="25"/>
        <v>0</v>
      </c>
      <c r="AP27" s="119"/>
      <c r="AQ27" s="119">
        <f>Яраб!D35</f>
        <v>10</v>
      </c>
      <c r="AR27" s="119"/>
      <c r="AS27" s="119"/>
      <c r="AT27" s="160"/>
      <c r="AU27" s="119" t="e">
        <f t="shared" si="26"/>
        <v>#DIV/0!</v>
      </c>
      <c r="AV27" s="119"/>
      <c r="AW27" s="119"/>
      <c r="AX27" s="122" t="e">
        <f t="shared" si="27"/>
        <v>#DIV/0!</v>
      </c>
      <c r="AY27" s="122"/>
      <c r="AZ27" s="122"/>
      <c r="BA27" s="122" t="e">
        <f t="shared" si="28"/>
        <v>#DIV/0!</v>
      </c>
      <c r="BB27" s="121">
        <f t="shared" si="46"/>
        <v>4116.657999999999</v>
      </c>
      <c r="BC27" s="121">
        <f t="shared" si="47"/>
        <v>3500.012</v>
      </c>
      <c r="BD27" s="119">
        <f t="shared" si="48"/>
        <v>85.02071340393107</v>
      </c>
      <c r="BE27" s="123">
        <f>Яраб!C40</f>
        <v>2405.2</v>
      </c>
      <c r="BF27" s="123">
        <f>Яраб!D40</f>
        <v>1964.61</v>
      </c>
      <c r="BG27" s="119">
        <f t="shared" si="29"/>
        <v>81.68177282554466</v>
      </c>
      <c r="BH27" s="119">
        <f>Яраб!C41</f>
        <v>167.7</v>
      </c>
      <c r="BI27" s="119">
        <f>Яраб!D41</f>
        <v>139.8</v>
      </c>
      <c r="BJ27" s="119">
        <f t="shared" si="30"/>
        <v>83.36314847942757</v>
      </c>
      <c r="BK27" s="119">
        <f>Яраб!C42</f>
        <v>1430.07</v>
      </c>
      <c r="BL27" s="119">
        <f>Яраб!D42</f>
        <v>1281.947</v>
      </c>
      <c r="BM27" s="119">
        <f t="shared" si="2"/>
        <v>89.64225527421735</v>
      </c>
      <c r="BN27" s="119">
        <f>Яраб!C43</f>
        <v>113.688</v>
      </c>
      <c r="BO27" s="119">
        <f>Яраб!D43</f>
        <v>113.655</v>
      </c>
      <c r="BP27" s="119">
        <f t="shared" si="3"/>
        <v>99.97097318978257</v>
      </c>
      <c r="BQ27" s="119"/>
      <c r="BR27" s="119"/>
      <c r="BS27" s="119" t="e">
        <f t="shared" si="4"/>
        <v>#DIV/0!</v>
      </c>
      <c r="BT27" s="121"/>
      <c r="BU27" s="121"/>
      <c r="BV27" s="119" t="e">
        <f t="shared" si="31"/>
        <v>#DIV/0!</v>
      </c>
      <c r="BW27" s="119"/>
      <c r="BX27" s="119"/>
      <c r="BY27" s="119"/>
      <c r="BZ27" s="121">
        <f t="shared" si="5"/>
        <v>4848.808</v>
      </c>
      <c r="CA27" s="121">
        <f t="shared" si="6"/>
        <v>3447.42475</v>
      </c>
      <c r="CB27" s="119">
        <f t="shared" si="32"/>
        <v>71.09839676060591</v>
      </c>
      <c r="CC27" s="121">
        <f t="shared" si="33"/>
        <v>776.418</v>
      </c>
      <c r="CD27" s="121">
        <f t="shared" si="33"/>
        <v>526.31332</v>
      </c>
      <c r="CE27" s="119">
        <f t="shared" si="34"/>
        <v>67.78736711410606</v>
      </c>
      <c r="CF27" s="119">
        <f>Яраб!C53</f>
        <v>770.118</v>
      </c>
      <c r="CG27" s="119">
        <f>Яраб!D53</f>
        <v>526.31332</v>
      </c>
      <c r="CH27" s="119">
        <f t="shared" si="35"/>
        <v>68.34190604556703</v>
      </c>
      <c r="CI27" s="119"/>
      <c r="CJ27" s="119"/>
      <c r="CK27" s="119" t="e">
        <f t="shared" si="36"/>
        <v>#DIV/0!</v>
      </c>
      <c r="CL27" s="119">
        <f>Яраб!C55</f>
        <v>6.3</v>
      </c>
      <c r="CM27" s="119"/>
      <c r="CN27" s="119">
        <f t="shared" si="37"/>
        <v>0</v>
      </c>
      <c r="CO27" s="119"/>
      <c r="CP27" s="119"/>
      <c r="CQ27" s="119" t="e">
        <f t="shared" si="38"/>
        <v>#DIV/0!</v>
      </c>
      <c r="CR27" s="119">
        <f>Яраб!C56</f>
        <v>113.57</v>
      </c>
      <c r="CS27" s="119">
        <f>Яраб!D56</f>
        <v>75.74143</v>
      </c>
      <c r="CT27" s="119">
        <f t="shared" si="39"/>
        <v>66.69140618120983</v>
      </c>
      <c r="CU27" s="119">
        <f>Яраб!C58</f>
        <v>10.7</v>
      </c>
      <c r="CV27" s="119">
        <f>Яраб!D58</f>
        <v>0</v>
      </c>
      <c r="CW27" s="119">
        <f t="shared" si="40"/>
        <v>0</v>
      </c>
      <c r="CX27" s="121">
        <f>Яраб!C62</f>
        <v>58.38</v>
      </c>
      <c r="CY27" s="121">
        <f>Яраб!D62</f>
        <v>0</v>
      </c>
      <c r="CZ27" s="119">
        <f t="shared" si="41"/>
        <v>0</v>
      </c>
      <c r="DA27" s="121">
        <f>Яраб!C66</f>
        <v>740.72</v>
      </c>
      <c r="DB27" s="121">
        <f>Яраб!D66</f>
        <v>648.58393</v>
      </c>
      <c r="DC27" s="119">
        <f t="shared" si="42"/>
        <v>87.56128226590344</v>
      </c>
      <c r="DD27" s="121">
        <f>Яраб!C77</f>
        <v>1894.7</v>
      </c>
      <c r="DE27" s="121">
        <f>Яраб!D77</f>
        <v>1383.03607</v>
      </c>
      <c r="DF27" s="119">
        <f t="shared" si="7"/>
        <v>72.99498970813322</v>
      </c>
      <c r="DG27" s="119">
        <f>Яраб!C85</f>
        <v>1194.77</v>
      </c>
      <c r="DH27" s="119">
        <f>Яраб!D85</f>
        <v>759.2</v>
      </c>
      <c r="DI27" s="119">
        <f t="shared" si="8"/>
        <v>63.54361090419077</v>
      </c>
      <c r="DJ27" s="120">
        <f>Яраб!C89</f>
        <v>13</v>
      </c>
      <c r="DK27" s="120">
        <f>Яраб!D89</f>
        <v>8</v>
      </c>
      <c r="DL27" s="119">
        <f t="shared" si="43"/>
        <v>61.53846153846154</v>
      </c>
      <c r="DM27" s="119">
        <f>Яраб!C99</f>
        <v>46.55</v>
      </c>
      <c r="DN27" s="119">
        <f>Яраб!D99</f>
        <v>46.55</v>
      </c>
      <c r="DO27" s="119">
        <f t="shared" si="45"/>
        <v>100</v>
      </c>
      <c r="DP27" s="124">
        <f t="shared" si="9"/>
        <v>61.55000000000018</v>
      </c>
      <c r="DQ27" s="124">
        <f t="shared" si="10"/>
        <v>-466.6070500000001</v>
      </c>
      <c r="DR27" s="119">
        <f t="shared" si="44"/>
        <v>-758.0943135662042</v>
      </c>
    </row>
    <row r="28" spans="1:122" s="112" customFormat="1" ht="15" customHeight="1">
      <c r="A28" s="115">
        <v>16</v>
      </c>
      <c r="B28" s="116" t="s">
        <v>307</v>
      </c>
      <c r="C28" s="117">
        <f t="shared" si="11"/>
        <v>2397.274</v>
      </c>
      <c r="D28" s="133">
        <f t="shared" si="0"/>
        <v>1930.61328</v>
      </c>
      <c r="E28" s="119">
        <f t="shared" si="1"/>
        <v>80.53369285279864</v>
      </c>
      <c r="F28" s="120">
        <f t="shared" si="12"/>
        <v>415.4</v>
      </c>
      <c r="G28" s="120">
        <f t="shared" si="13"/>
        <v>346.97227999999996</v>
      </c>
      <c r="H28" s="119">
        <f t="shared" si="14"/>
        <v>83.52727010110736</v>
      </c>
      <c r="I28" s="121">
        <f>Ярос!C7</f>
        <v>108.6</v>
      </c>
      <c r="J28" s="121">
        <f>Ярос!D7</f>
        <v>81.39344</v>
      </c>
      <c r="K28" s="119">
        <f t="shared" si="15"/>
        <v>74.94791896869245</v>
      </c>
      <c r="L28" s="121">
        <f>Ярос!C9</f>
        <v>0</v>
      </c>
      <c r="M28" s="121">
        <f>Ярос!D9</f>
        <v>0.70415</v>
      </c>
      <c r="N28" s="119" t="e">
        <f t="shared" si="16"/>
        <v>#DIV/0!</v>
      </c>
      <c r="O28" s="121">
        <f>Ярос!C12</f>
        <v>30.1</v>
      </c>
      <c r="P28" s="121">
        <f>Ярос!D12</f>
        <v>4.83391</v>
      </c>
      <c r="Q28" s="119">
        <f t="shared" si="17"/>
        <v>16.05950166112957</v>
      </c>
      <c r="R28" s="121">
        <f>Ярос!C11</f>
        <v>189</v>
      </c>
      <c r="S28" s="121">
        <f>Ярос!D11</f>
        <v>127.99123</v>
      </c>
      <c r="T28" s="119">
        <f t="shared" si="18"/>
        <v>67.72022751322751</v>
      </c>
      <c r="U28" s="119">
        <f>Ярос!C17</f>
        <v>11.7</v>
      </c>
      <c r="V28" s="119">
        <f>Ярос!D17</f>
        <v>19.51</v>
      </c>
      <c r="W28" s="119">
        <f t="shared" si="19"/>
        <v>166.75213675213678</v>
      </c>
      <c r="X28" s="121">
        <f>Ярос!C21</f>
        <v>45</v>
      </c>
      <c r="Y28" s="121">
        <f>Ярос!D21</f>
        <v>97.37212</v>
      </c>
      <c r="Z28" s="119">
        <f t="shared" si="20"/>
        <v>216.38248888888887</v>
      </c>
      <c r="AA28" s="121"/>
      <c r="AB28" s="121"/>
      <c r="AC28" s="119" t="e">
        <f t="shared" si="21"/>
        <v>#DIV/0!</v>
      </c>
      <c r="AD28" s="121">
        <f>Ярос!C22</f>
        <v>0</v>
      </c>
      <c r="AE28" s="121">
        <f>Ярос!D22</f>
        <v>3.8875</v>
      </c>
      <c r="AF28" s="119" t="e">
        <f t="shared" si="22"/>
        <v>#DIV/0!</v>
      </c>
      <c r="AG28" s="121"/>
      <c r="AH28" s="121">
        <f>Ярос!D19</f>
        <v>0</v>
      </c>
      <c r="AI28" s="119" t="e">
        <f t="shared" si="23"/>
        <v>#DIV/0!</v>
      </c>
      <c r="AJ28" s="119">
        <f>Ярос!C25</f>
        <v>30</v>
      </c>
      <c r="AK28" s="119">
        <f>Ярос!D25</f>
        <v>0</v>
      </c>
      <c r="AL28" s="119">
        <f t="shared" si="24"/>
        <v>0</v>
      </c>
      <c r="AM28" s="127">
        <f>Ярос!C34</f>
        <v>1</v>
      </c>
      <c r="AN28" s="127">
        <f>Ярос!D34</f>
        <v>11.27993</v>
      </c>
      <c r="AO28" s="119">
        <f t="shared" si="25"/>
        <v>1127.993</v>
      </c>
      <c r="AP28" s="119"/>
      <c r="AQ28" s="119"/>
      <c r="AR28" s="119"/>
      <c r="AS28" s="119"/>
      <c r="AT28" s="160"/>
      <c r="AU28" s="119" t="e">
        <f t="shared" si="26"/>
        <v>#DIV/0!</v>
      </c>
      <c r="AV28" s="119"/>
      <c r="AW28" s="119"/>
      <c r="AX28" s="122" t="e">
        <f t="shared" si="27"/>
        <v>#DIV/0!</v>
      </c>
      <c r="AY28" s="122"/>
      <c r="AZ28" s="122"/>
      <c r="BA28" s="122" t="e">
        <f t="shared" si="28"/>
        <v>#DIV/0!</v>
      </c>
      <c r="BB28" s="121">
        <f t="shared" si="46"/>
        <v>1981.874</v>
      </c>
      <c r="BC28" s="121">
        <f t="shared" si="47"/>
        <v>1583.641</v>
      </c>
      <c r="BD28" s="119">
        <f t="shared" si="48"/>
        <v>79.90624025543501</v>
      </c>
      <c r="BE28" s="123">
        <f>Ярос!C40</f>
        <v>1760.9</v>
      </c>
      <c r="BF28" s="123">
        <f>Ярос!D40</f>
        <v>1439.19</v>
      </c>
      <c r="BG28" s="119">
        <f t="shared" si="29"/>
        <v>81.73036515418252</v>
      </c>
      <c r="BH28" s="119"/>
      <c r="BI28" s="119"/>
      <c r="BJ28" s="119" t="e">
        <f t="shared" si="30"/>
        <v>#DIV/0!</v>
      </c>
      <c r="BK28" s="119">
        <f>Ярос!C42</f>
        <v>166.3</v>
      </c>
      <c r="BL28" s="119">
        <f>Ярос!D42</f>
        <v>89.8</v>
      </c>
      <c r="BM28" s="119">
        <f t="shared" si="2"/>
        <v>53.99879735417918</v>
      </c>
      <c r="BN28" s="119">
        <f>Ярос!C43</f>
        <v>54.674</v>
      </c>
      <c r="BO28" s="119">
        <f>Ярос!D43</f>
        <v>54.651</v>
      </c>
      <c r="BP28" s="119">
        <f t="shared" si="3"/>
        <v>99.9579324724732</v>
      </c>
      <c r="BQ28" s="119"/>
      <c r="BR28" s="119"/>
      <c r="BS28" s="119" t="e">
        <f t="shared" si="4"/>
        <v>#DIV/0!</v>
      </c>
      <c r="BT28" s="121"/>
      <c r="BU28" s="121"/>
      <c r="BV28" s="119" t="e">
        <f t="shared" si="31"/>
        <v>#DIV/0!</v>
      </c>
      <c r="BW28" s="119"/>
      <c r="BX28" s="119"/>
      <c r="BY28" s="119"/>
      <c r="BZ28" s="121">
        <f t="shared" si="5"/>
        <v>2997.376</v>
      </c>
      <c r="CA28" s="121">
        <f t="shared" si="6"/>
        <v>1652.15905</v>
      </c>
      <c r="CB28" s="119">
        <f t="shared" si="32"/>
        <v>55.1201801175428</v>
      </c>
      <c r="CC28" s="121">
        <f t="shared" si="33"/>
        <v>779.40275</v>
      </c>
      <c r="CD28" s="121">
        <f t="shared" si="33"/>
        <v>551.91678</v>
      </c>
      <c r="CE28" s="119">
        <f t="shared" si="34"/>
        <v>70.81278324973835</v>
      </c>
      <c r="CF28" s="119">
        <f>Ярос!C53</f>
        <v>770.804</v>
      </c>
      <c r="CG28" s="119">
        <f>Ярос!D53</f>
        <v>551.91678</v>
      </c>
      <c r="CH28" s="119">
        <f t="shared" si="35"/>
        <v>71.60273947722119</v>
      </c>
      <c r="CI28" s="119"/>
      <c r="CJ28" s="119"/>
      <c r="CK28" s="119" t="e">
        <f t="shared" si="36"/>
        <v>#DIV/0!</v>
      </c>
      <c r="CL28" s="119">
        <f>Ярос!C55</f>
        <v>8.59875</v>
      </c>
      <c r="CM28" s="119"/>
      <c r="CN28" s="119">
        <f t="shared" si="37"/>
        <v>0</v>
      </c>
      <c r="CO28" s="119"/>
      <c r="CP28" s="119"/>
      <c r="CQ28" s="119" t="e">
        <f t="shared" si="38"/>
        <v>#DIV/0!</v>
      </c>
      <c r="CR28" s="119">
        <f>Ярос!C56</f>
        <v>54.59</v>
      </c>
      <c r="CS28" s="119">
        <f>Ярос!D56</f>
        <v>39.97756</v>
      </c>
      <c r="CT28" s="119">
        <f t="shared" si="39"/>
        <v>73.23238688404469</v>
      </c>
      <c r="CU28" s="119">
        <f>Ярос!C58</f>
        <v>22.401249999999997</v>
      </c>
      <c r="CV28" s="119">
        <f>Ярос!D58</f>
        <v>15.90625</v>
      </c>
      <c r="CW28" s="119">
        <f t="shared" si="40"/>
        <v>71.00608224987445</v>
      </c>
      <c r="CX28" s="121">
        <f>Ярос!C62</f>
        <v>185.742</v>
      </c>
      <c r="CY28" s="121">
        <f>Ярос!D62</f>
        <v>9.18125</v>
      </c>
      <c r="CZ28" s="119">
        <f t="shared" si="41"/>
        <v>4.943012350464623</v>
      </c>
      <c r="DA28" s="121">
        <f>Ярос!C66</f>
        <v>691.86</v>
      </c>
      <c r="DB28" s="121">
        <f>Ярос!D66</f>
        <v>390.06479</v>
      </c>
      <c r="DC28" s="119">
        <f t="shared" si="42"/>
        <v>56.37915040615154</v>
      </c>
      <c r="DD28" s="129">
        <f>Ярос!C77</f>
        <v>1122.88</v>
      </c>
      <c r="DE28" s="129">
        <f>Ярос!D77</f>
        <v>543.54042</v>
      </c>
      <c r="DF28" s="119">
        <f t="shared" si="7"/>
        <v>48.405922271302366</v>
      </c>
      <c r="DG28" s="119">
        <f>Ярос!C85</f>
        <v>0</v>
      </c>
      <c r="DH28" s="119">
        <f>Ярос!D85</f>
        <v>0</v>
      </c>
      <c r="DI28" s="119" t="e">
        <f t="shared" si="8"/>
        <v>#DIV/0!</v>
      </c>
      <c r="DJ28" s="120">
        <f>Ярос!C89</f>
        <v>9</v>
      </c>
      <c r="DK28" s="120">
        <f>Ярос!D89</f>
        <v>2.947</v>
      </c>
      <c r="DL28" s="119">
        <f t="shared" si="43"/>
        <v>32.74444444444444</v>
      </c>
      <c r="DM28" s="119">
        <f>Ярос!C99</f>
        <v>131.5</v>
      </c>
      <c r="DN28" s="119">
        <f>Ярос!D99</f>
        <v>98.625</v>
      </c>
      <c r="DO28" s="119">
        <f t="shared" si="45"/>
        <v>75</v>
      </c>
      <c r="DP28" s="124">
        <f t="shared" si="9"/>
        <v>600.1020000000003</v>
      </c>
      <c r="DQ28" s="124">
        <f t="shared" si="10"/>
        <v>-278.45423000000005</v>
      </c>
      <c r="DR28" s="119">
        <f t="shared" si="44"/>
        <v>-46.401150137809886</v>
      </c>
    </row>
    <row r="29" spans="1:122" s="112" customFormat="1" ht="15" customHeight="1">
      <c r="A29" s="135"/>
      <c r="B29" s="136"/>
      <c r="C29" s="117"/>
      <c r="D29" s="137"/>
      <c r="E29" s="119"/>
      <c r="F29" s="120"/>
      <c r="G29" s="149"/>
      <c r="H29" s="119"/>
      <c r="I29" s="121"/>
      <c r="J29" s="121"/>
      <c r="K29" s="119"/>
      <c r="L29" s="121"/>
      <c r="M29" s="121"/>
      <c r="N29" s="119"/>
      <c r="O29" s="121"/>
      <c r="P29" s="121"/>
      <c r="Q29" s="119"/>
      <c r="R29" s="121"/>
      <c r="S29" s="121"/>
      <c r="T29" s="119"/>
      <c r="U29" s="138"/>
      <c r="V29" s="119"/>
      <c r="W29" s="119"/>
      <c r="X29" s="121"/>
      <c r="Y29" s="121"/>
      <c r="Z29" s="119"/>
      <c r="AA29" s="121"/>
      <c r="AB29" s="121"/>
      <c r="AC29" s="119"/>
      <c r="AD29" s="121"/>
      <c r="AE29" s="121"/>
      <c r="AF29" s="119"/>
      <c r="AG29" s="121"/>
      <c r="AH29" s="121"/>
      <c r="AI29" s="119"/>
      <c r="AJ29" s="119"/>
      <c r="AK29" s="160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22"/>
      <c r="AY29" s="122"/>
      <c r="AZ29" s="122"/>
      <c r="BA29" s="122"/>
      <c r="BB29" s="121"/>
      <c r="BC29" s="121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1"/>
      <c r="BU29" s="121"/>
      <c r="BV29" s="119"/>
      <c r="BW29" s="119"/>
      <c r="BX29" s="119"/>
      <c r="BY29" s="119"/>
      <c r="BZ29" s="121"/>
      <c r="CA29" s="121"/>
      <c r="CB29" s="119"/>
      <c r="CC29" s="121"/>
      <c r="CD29" s="121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1"/>
      <c r="CY29" s="121"/>
      <c r="CZ29" s="119"/>
      <c r="DA29" s="121"/>
      <c r="DB29" s="121"/>
      <c r="DC29" s="119"/>
      <c r="DD29" s="121"/>
      <c r="DE29" s="121"/>
      <c r="DF29" s="119"/>
      <c r="DG29" s="119"/>
      <c r="DH29" s="119"/>
      <c r="DI29" s="119"/>
      <c r="DJ29" s="120"/>
      <c r="DK29" s="120"/>
      <c r="DL29" s="119"/>
      <c r="DM29" s="119"/>
      <c r="DN29" s="119"/>
      <c r="DO29" s="119"/>
      <c r="DP29" s="124"/>
      <c r="DQ29" s="124"/>
      <c r="DR29" s="119"/>
    </row>
    <row r="30" spans="1:122" s="112" customFormat="1" ht="17.25" customHeight="1">
      <c r="A30" s="275" t="s">
        <v>225</v>
      </c>
      <c r="B30" s="276"/>
      <c r="C30" s="139">
        <f>SUM(C13:C28)</f>
        <v>80432.91500000002</v>
      </c>
      <c r="D30" s="210">
        <f>SUM(D13:D28)</f>
        <v>67472.60272000001</v>
      </c>
      <c r="E30" s="140">
        <f>D30/C30*100</f>
        <v>83.88680519660389</v>
      </c>
      <c r="F30" s="139">
        <f>SUM(F13:F28)</f>
        <v>19063.1</v>
      </c>
      <c r="G30" s="139">
        <f>SUM(G13:G28)</f>
        <v>16938.909719999996</v>
      </c>
      <c r="H30" s="140">
        <f>G30/F30*100</f>
        <v>88.85705745655217</v>
      </c>
      <c r="I30" s="139">
        <f>SUM(I13:I28)</f>
        <v>10473.300000000001</v>
      </c>
      <c r="J30" s="139">
        <f>SUM(J13:J28)</f>
        <v>8084.96942</v>
      </c>
      <c r="K30" s="140">
        <f>J30/I30*100</f>
        <v>77.19600718016288</v>
      </c>
      <c r="L30" s="139">
        <f>SUM(L13:L28)</f>
        <v>170</v>
      </c>
      <c r="M30" s="139">
        <f>SUM(M13:M28)</f>
        <v>168.25400999999997</v>
      </c>
      <c r="N30" s="140">
        <f>M30/L30*100</f>
        <v>98.97294705882351</v>
      </c>
      <c r="O30" s="234">
        <f>SUM(O13:O28)</f>
        <v>420.00000000000006</v>
      </c>
      <c r="P30" s="234">
        <f>SUM(P13:P28)</f>
        <v>176.71112</v>
      </c>
      <c r="Q30" s="140">
        <f>P30/O30*100</f>
        <v>42.074076190476184</v>
      </c>
      <c r="R30" s="139">
        <f>SUM(R13:R28)</f>
        <v>4930.8</v>
      </c>
      <c r="S30" s="139">
        <f>SUM(S13:S28)</f>
        <v>3590.4869200000003</v>
      </c>
      <c r="T30" s="140">
        <f>S30/R30*100</f>
        <v>72.81753305751603</v>
      </c>
      <c r="U30" s="140">
        <f>SUM(U13:U28)</f>
        <v>199.99999999999997</v>
      </c>
      <c r="V30" s="140">
        <f>SUM(V13:V28)</f>
        <v>184.74324000000001</v>
      </c>
      <c r="W30" s="119">
        <f t="shared" si="19"/>
        <v>92.37162000000002</v>
      </c>
      <c r="X30" s="139">
        <f>SUM(X13:X28)</f>
        <v>1899</v>
      </c>
      <c r="Y30" s="139">
        <f>SUM(Y13:Y28)</f>
        <v>2467.10894</v>
      </c>
      <c r="Z30" s="140">
        <f>Y30/X30*100</f>
        <v>129.91621590310692</v>
      </c>
      <c r="AA30" s="139">
        <f>SUM(AA13:AA28)</f>
        <v>0</v>
      </c>
      <c r="AB30" s="139">
        <f>SUM(AB13:AB28)</f>
        <v>0</v>
      </c>
      <c r="AC30" s="140" t="e">
        <f>AB30/AA30*100</f>
        <v>#DIV/0!</v>
      </c>
      <c r="AD30" s="139">
        <f>SUM(AD13:AD28)</f>
        <v>150</v>
      </c>
      <c r="AE30" s="139">
        <f>SUM(AE13:AE28)</f>
        <v>229.34378</v>
      </c>
      <c r="AF30" s="140">
        <f>AE30/AD30*100</f>
        <v>152.89585333333332</v>
      </c>
      <c r="AG30" s="139">
        <f>SUM(AG13:AG28)</f>
        <v>0</v>
      </c>
      <c r="AH30" s="139">
        <f>SUM(AH13:AH28)</f>
        <v>0</v>
      </c>
      <c r="AI30" s="140" t="e">
        <f>AH30/AG30*100</f>
        <v>#DIV/0!</v>
      </c>
      <c r="AJ30" s="139">
        <f>SUM(AJ13:AJ28)</f>
        <v>800</v>
      </c>
      <c r="AK30" s="139">
        <f>SUM(AK13:AK28)</f>
        <v>1784.5671200000002</v>
      </c>
      <c r="AL30" s="119">
        <f t="shared" si="24"/>
        <v>223.07089000000002</v>
      </c>
      <c r="AM30" s="139">
        <f>SUM(AM13:AM28)</f>
        <v>20</v>
      </c>
      <c r="AN30" s="139">
        <f>SUM(AN13:AN28)</f>
        <v>172.03117</v>
      </c>
      <c r="AO30" s="140">
        <f>AN30/AM30*100</f>
        <v>860.15585</v>
      </c>
      <c r="AP30" s="140"/>
      <c r="AQ30" s="211">
        <f>AQ14+AQ26+AQ27+AQ18+AQ21+AQ25</f>
        <v>80.694</v>
      </c>
      <c r="AR30" s="140"/>
      <c r="AS30" s="139">
        <f>SUM(AS13:AS28)</f>
        <v>0</v>
      </c>
      <c r="AT30" s="139">
        <f>SUM(AT13:AT28)</f>
        <v>0</v>
      </c>
      <c r="AU30" s="140" t="e">
        <f>AT30/AS30*100</f>
        <v>#DIV/0!</v>
      </c>
      <c r="AV30" s="140">
        <f aca="true" t="shared" si="49" ref="AV30:BA30">SUM(AV13:AV28)</f>
        <v>0</v>
      </c>
      <c r="AW30" s="140"/>
      <c r="AX30" s="140" t="e">
        <f t="shared" si="49"/>
        <v>#DIV/0!</v>
      </c>
      <c r="AY30" s="140">
        <f t="shared" si="49"/>
        <v>0</v>
      </c>
      <c r="AZ30" s="140">
        <f t="shared" si="49"/>
        <v>0</v>
      </c>
      <c r="BA30" s="141" t="e">
        <f t="shared" si="49"/>
        <v>#DIV/0!</v>
      </c>
      <c r="BB30" s="139">
        <f>SUM(BB13:BB28)</f>
        <v>61369.814999999995</v>
      </c>
      <c r="BC30" s="139">
        <f>SUM(BC13:BC28)</f>
        <v>50533.69300000001</v>
      </c>
      <c r="BD30" s="139">
        <f t="shared" si="48"/>
        <v>82.34291239105089</v>
      </c>
      <c r="BE30" s="139">
        <f>SUM(BE13:BE28)</f>
        <v>29666.500000000007</v>
      </c>
      <c r="BF30" s="139">
        <f>SUM(BF13:BF28)</f>
        <v>24192.700000000004</v>
      </c>
      <c r="BG30" s="139">
        <f>BF30/BE30*100</f>
        <v>81.5488851060961</v>
      </c>
      <c r="BH30" s="139">
        <f>SUM(BH13:BH28)</f>
        <v>2806.1</v>
      </c>
      <c r="BI30" s="139">
        <f>SUM(BI13:BI28)</f>
        <v>2417.1000000000004</v>
      </c>
      <c r="BJ30" s="139">
        <f>BI30/BH30*100</f>
        <v>86.13734364420371</v>
      </c>
      <c r="BK30" s="139">
        <f>SUM(BK13:BK28)</f>
        <v>23973.014999999996</v>
      </c>
      <c r="BL30" s="139">
        <f>SUM(BL13:BL28)</f>
        <v>19000.193</v>
      </c>
      <c r="BM30" s="139">
        <f t="shared" si="2"/>
        <v>79.2565849560433</v>
      </c>
      <c r="BN30" s="139">
        <f>SUM(BN13:BN28)</f>
        <v>4304.2</v>
      </c>
      <c r="BO30" s="139">
        <f>SUM(BO13:BO28)</f>
        <v>4303.7</v>
      </c>
      <c r="BP30" s="139">
        <f t="shared" si="3"/>
        <v>99.98838343943125</v>
      </c>
      <c r="BQ30" s="139">
        <f>SUM(BQ13:BQ28)</f>
        <v>0</v>
      </c>
      <c r="BR30" s="139">
        <f>SUM(BR13:BR28)</f>
        <v>0</v>
      </c>
      <c r="BS30" s="119" t="e">
        <f t="shared" si="4"/>
        <v>#DIV/0!</v>
      </c>
      <c r="BT30" s="139">
        <f>SUM(BT13:BT28)</f>
        <v>0</v>
      </c>
      <c r="BU30" s="139">
        <f>SUM(BU13:BU28)</f>
        <v>0</v>
      </c>
      <c r="BV30" s="140" t="e">
        <f>BU30/BT30*100</f>
        <v>#DIV/0!</v>
      </c>
      <c r="BW30" s="140">
        <v>500</v>
      </c>
      <c r="BX30" s="140">
        <f>BX13+BX14+BX15+BX16+BX17+BX18+BX19+BX20+BX21+BX22+BX23+BX24+BX25+BX26+BX27+BX28</f>
        <v>620</v>
      </c>
      <c r="BY30" s="140">
        <v>0</v>
      </c>
      <c r="BZ30" s="139">
        <f>SUM(BZ13:BZ28)</f>
        <v>86295.925</v>
      </c>
      <c r="CA30" s="139">
        <f>SUM(CA13:CA28)</f>
        <v>50799.837980000004</v>
      </c>
      <c r="CB30" s="140">
        <f>CA30/BZ30*100</f>
        <v>58.867018320969386</v>
      </c>
      <c r="CC30" s="139">
        <f>SUM(CC13:CC28)</f>
        <v>12725.769999999999</v>
      </c>
      <c r="CD30" s="139">
        <f>SUM(CD13:CD28)</f>
        <v>9147.831229999998</v>
      </c>
      <c r="CE30" s="140">
        <f>CD30/CC30*100</f>
        <v>71.88430428964219</v>
      </c>
      <c r="CF30" s="139">
        <f>SUM(CF13:CF28)</f>
        <v>12370.385000000004</v>
      </c>
      <c r="CG30" s="139">
        <f>SUM(CG13:CG28)</f>
        <v>8960.73123</v>
      </c>
      <c r="CH30" s="140">
        <f>CG30/CF30*100</f>
        <v>72.43696319880098</v>
      </c>
      <c r="CI30" s="139">
        <f>SUM(CI13:CI28)</f>
        <v>190.90000000000003</v>
      </c>
      <c r="CJ30" s="139">
        <f>SUM(CJ13:CJ28)</f>
        <v>187.10000000000002</v>
      </c>
      <c r="CK30" s="140">
        <f>CJ30/CI30*100</f>
        <v>98.00942902042954</v>
      </c>
      <c r="CL30" s="140">
        <f aca="true" t="shared" si="50" ref="CL30:CU30">SUM(CL13:CL28)</f>
        <v>164.48499999999996</v>
      </c>
      <c r="CM30" s="140">
        <f t="shared" si="50"/>
        <v>0</v>
      </c>
      <c r="CN30" s="140">
        <f t="shared" si="50"/>
        <v>0</v>
      </c>
      <c r="CO30" s="140">
        <f t="shared" si="50"/>
        <v>0</v>
      </c>
      <c r="CP30" s="140">
        <f t="shared" si="50"/>
        <v>0</v>
      </c>
      <c r="CQ30" s="140" t="e">
        <f t="shared" si="50"/>
        <v>#DIV/0!</v>
      </c>
      <c r="CR30" s="140">
        <f t="shared" si="50"/>
        <v>1467.5999999999997</v>
      </c>
      <c r="CS30" s="140">
        <f t="shared" si="50"/>
        <v>950.3011000000001</v>
      </c>
      <c r="CT30" s="139">
        <f t="shared" si="39"/>
        <v>64.75205096756612</v>
      </c>
      <c r="CU30" s="140">
        <f t="shared" si="50"/>
        <v>651.003</v>
      </c>
      <c r="CV30" s="140">
        <f>SUM(CV13:CV28)</f>
        <v>271.36422000000005</v>
      </c>
      <c r="CW30" s="119">
        <f t="shared" si="40"/>
        <v>41.68401988930927</v>
      </c>
      <c r="CX30" s="139">
        <f>SUM(CX13:CX28)</f>
        <v>9626.807379999998</v>
      </c>
      <c r="CY30" s="139">
        <f>SUM(CY13:CY28)</f>
        <v>4998.11227</v>
      </c>
      <c r="CZ30" s="140">
        <f>CY30/CX30*100</f>
        <v>51.918689890728864</v>
      </c>
      <c r="DA30" s="139">
        <f>SUM(DA13:DA28)</f>
        <v>16743.83862</v>
      </c>
      <c r="DB30" s="139">
        <f>SUM(DB13:DB28)</f>
        <v>9665.016650000003</v>
      </c>
      <c r="DC30" s="140">
        <f>DB30/DA30*100</f>
        <v>57.72282491098212</v>
      </c>
      <c r="DD30" s="139">
        <f>SUM(DD13:DD28)</f>
        <v>26737.982</v>
      </c>
      <c r="DE30" s="139">
        <f>SUM(DE13:DE28)</f>
        <v>15346.083509999997</v>
      </c>
      <c r="DF30" s="140">
        <f>DE30/DD30*100</f>
        <v>57.394322092071114</v>
      </c>
      <c r="DG30" s="139">
        <f>SUM(DG13:DG28)</f>
        <v>12649.364999999998</v>
      </c>
      <c r="DH30" s="139">
        <f>SUM(DH13:DH28)</f>
        <v>6387.6</v>
      </c>
      <c r="DI30" s="140">
        <f>DH30/DG30*100</f>
        <v>50.49739650962718</v>
      </c>
      <c r="DJ30" s="139">
        <f>SUM(DJ13:DJ28)</f>
        <v>197.20000000000002</v>
      </c>
      <c r="DK30" s="139">
        <f>SUM(DK13:DK28)</f>
        <v>109.145</v>
      </c>
      <c r="DL30" s="140">
        <f>DK30/DJ30*100</f>
        <v>55.34736308316429</v>
      </c>
      <c r="DM30" s="140">
        <f>SUM(DM13:DM28)</f>
        <v>5496.359</v>
      </c>
      <c r="DN30" s="140">
        <f>SUM(DN13:DN28)</f>
        <v>3924.384</v>
      </c>
      <c r="DO30" s="119">
        <f>DN30/DM30*100</f>
        <v>71.39970296700051</v>
      </c>
      <c r="DP30" s="159">
        <f>SUM(DP13:DP28)</f>
        <v>5863.010000000004</v>
      </c>
      <c r="DQ30" s="140">
        <f>SUM(DQ13:DQ28)</f>
        <v>-16672.764740000002</v>
      </c>
      <c r="DR30" s="119">
        <f>DQ30/DP30*100</f>
        <v>-284.37210136090494</v>
      </c>
    </row>
    <row r="31" spans="3:122" ht="12.75" customHeight="1">
      <c r="C31" s="235"/>
      <c r="D31" s="235"/>
      <c r="F31" s="235"/>
      <c r="G31" s="235"/>
      <c r="I31" s="235"/>
      <c r="J31" s="235"/>
      <c r="L31" s="235"/>
      <c r="M31" s="235"/>
      <c r="O31" s="235"/>
      <c r="P31" s="235"/>
      <c r="R31" s="205"/>
      <c r="S31" s="231"/>
      <c r="T31" s="148"/>
      <c r="U31" s="205"/>
      <c r="V31" s="205"/>
      <c r="W31" s="148"/>
      <c r="X31" s="204"/>
      <c r="Y31" s="205"/>
      <c r="Z31" s="148"/>
      <c r="AA31" s="148"/>
      <c r="AB31" s="148"/>
      <c r="AC31" s="148"/>
      <c r="AD31" s="204"/>
      <c r="AE31" s="205"/>
      <c r="AF31" s="148"/>
      <c r="AG31" s="148"/>
      <c r="AH31" s="148"/>
      <c r="AI31" s="148"/>
      <c r="AJ31" s="204"/>
      <c r="AK31" s="205"/>
      <c r="AL31" s="148"/>
      <c r="AM31" s="232"/>
      <c r="AN31" s="205"/>
      <c r="AO31" s="148"/>
      <c r="AP31" s="148"/>
      <c r="AQ31" s="205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235"/>
      <c r="BC31" s="235"/>
      <c r="BD31" s="148"/>
      <c r="BE31" s="205"/>
      <c r="BF31" s="205"/>
      <c r="BG31" s="205"/>
      <c r="BH31" s="205"/>
      <c r="BI31" s="205"/>
      <c r="BJ31" s="205"/>
      <c r="BK31" s="235"/>
      <c r="BL31" s="235"/>
      <c r="BM31" s="205"/>
      <c r="BN31" s="205"/>
      <c r="BO31" s="205"/>
      <c r="BP31" s="205"/>
      <c r="BQ31" s="205"/>
      <c r="BR31" s="205"/>
      <c r="BS31" s="205"/>
      <c r="BT31" s="205"/>
      <c r="BU31" s="148"/>
      <c r="BV31" s="148"/>
      <c r="BW31" s="204"/>
      <c r="BX31" s="148"/>
      <c r="BY31" s="148"/>
      <c r="BZ31" s="205"/>
      <c r="CA31" s="205"/>
      <c r="CB31" s="148"/>
      <c r="CC31" s="148"/>
      <c r="CD31" s="148"/>
      <c r="CE31" s="148"/>
      <c r="CF31" s="148"/>
      <c r="CG31" s="148"/>
      <c r="CH31" s="148"/>
      <c r="CI31" s="205"/>
      <c r="CJ31" s="148"/>
      <c r="CK31" s="148"/>
      <c r="CL31" s="148"/>
      <c r="CM31" s="204"/>
      <c r="CN31" s="148"/>
      <c r="CO31" s="148"/>
      <c r="CP31" s="148"/>
      <c r="CQ31" s="148"/>
      <c r="CR31" s="148"/>
      <c r="CS31" s="148"/>
      <c r="CT31" s="148"/>
      <c r="CU31" s="205"/>
      <c r="CV31" s="205"/>
      <c r="CW31" s="148"/>
      <c r="CX31" s="205"/>
      <c r="CY31" s="205"/>
      <c r="CZ31" s="148"/>
      <c r="DA31" s="205"/>
      <c r="DB31" s="205"/>
      <c r="DC31" s="148"/>
      <c r="DD31" s="205"/>
      <c r="DE31" s="205"/>
      <c r="DF31" s="148"/>
      <c r="DG31" s="205"/>
      <c r="DH31" s="205"/>
      <c r="DI31" s="148"/>
      <c r="DJ31" s="205"/>
      <c r="DK31" s="205"/>
      <c r="DL31" s="148"/>
      <c r="DM31" s="205"/>
      <c r="DN31" s="205"/>
      <c r="DO31" s="148"/>
      <c r="DP31" s="205"/>
      <c r="DQ31" s="205"/>
      <c r="DR31" s="148"/>
    </row>
    <row r="32" spans="3:121" ht="12.75">
      <c r="C32" s="235"/>
      <c r="D32" s="235"/>
      <c r="F32" s="235"/>
      <c r="G32" s="235"/>
      <c r="I32" s="235"/>
      <c r="J32" s="229"/>
      <c r="L32" s="229"/>
      <c r="M32" s="229"/>
      <c r="O32" s="229"/>
      <c r="P32" s="229"/>
      <c r="R32" s="212"/>
      <c r="S32" s="212"/>
      <c r="V32" s="161"/>
      <c r="X32" s="150"/>
      <c r="Y32" s="150"/>
      <c r="AT32" s="150"/>
      <c r="BB32" s="230"/>
      <c r="BC32" s="230"/>
      <c r="BH32" s="168"/>
      <c r="BK32" s="233"/>
      <c r="BL32" s="233"/>
      <c r="BO32" s="151"/>
      <c r="BZ32" s="151"/>
      <c r="CA32" s="150"/>
      <c r="CF32" s="151"/>
      <c r="CI32" s="168"/>
      <c r="CS32" s="150"/>
      <c r="CV32" s="150"/>
      <c r="CX32" s="168"/>
      <c r="DA32" s="150"/>
      <c r="DB32" s="150"/>
      <c r="DD32" s="151"/>
      <c r="DE32" s="150"/>
      <c r="DG32" s="167"/>
      <c r="DN32" s="151"/>
      <c r="DP32" s="205"/>
      <c r="DQ32" s="212"/>
    </row>
    <row r="33" spans="9:25" ht="12.75">
      <c r="I33" s="204"/>
      <c r="M33" s="171"/>
      <c r="Y33" s="150"/>
    </row>
    <row r="34" spans="9:13" ht="12.75">
      <c r="I34" s="204"/>
      <c r="M34" s="172"/>
    </row>
    <row r="35" spans="9:15" ht="12.75">
      <c r="I35" s="168"/>
      <c r="O35" s="150"/>
    </row>
  </sheetData>
  <sheetProtection/>
  <mergeCells count="59">
    <mergeCell ref="C7:E10"/>
    <mergeCell ref="I6:L6"/>
    <mergeCell ref="X9:Z10"/>
    <mergeCell ref="A30:B30"/>
    <mergeCell ref="F8:H10"/>
    <mergeCell ref="I8:AI8"/>
    <mergeCell ref="I9:K10"/>
    <mergeCell ref="AA9:AC10"/>
    <mergeCell ref="AD9:AF10"/>
    <mergeCell ref="A7:A11"/>
    <mergeCell ref="BZ7:CB10"/>
    <mergeCell ref="CC7:DO7"/>
    <mergeCell ref="AJ9:AL10"/>
    <mergeCell ref="AM9:AO10"/>
    <mergeCell ref="CO9:CQ10"/>
    <mergeCell ref="CL10:CN10"/>
    <mergeCell ref="CU9:CW10"/>
    <mergeCell ref="CC9:CE10"/>
    <mergeCell ref="CI10:CK10"/>
    <mergeCell ref="CC8:DO8"/>
    <mergeCell ref="B7:B11"/>
    <mergeCell ref="DU10:DW11"/>
    <mergeCell ref="DJ9:DL10"/>
    <mergeCell ref="DG9:DI10"/>
    <mergeCell ref="DM9:DO10"/>
    <mergeCell ref="L1:N1"/>
    <mergeCell ref="L2:N2"/>
    <mergeCell ref="L3:N3"/>
    <mergeCell ref="B4:N4"/>
    <mergeCell ref="B5:N5"/>
    <mergeCell ref="CF9:CN9"/>
    <mergeCell ref="CR9:CT10"/>
    <mergeCell ref="AP9:AR10"/>
    <mergeCell ref="BE9:BG10"/>
    <mergeCell ref="DP7:DR10"/>
    <mergeCell ref="CX9:CZ10"/>
    <mergeCell ref="DA9:DC10"/>
    <mergeCell ref="DD9:DF10"/>
    <mergeCell ref="CF10:CH10"/>
    <mergeCell ref="BW9:BY10"/>
    <mergeCell ref="L9:N10"/>
    <mergeCell ref="BB8:BD10"/>
    <mergeCell ref="BE8:BP8"/>
    <mergeCell ref="BT8:BV10"/>
    <mergeCell ref="AS9:AU10"/>
    <mergeCell ref="O9:Q10"/>
    <mergeCell ref="BN9:BP10"/>
    <mergeCell ref="BQ9:BS10"/>
    <mergeCell ref="AV9:AX10"/>
    <mergeCell ref="AY9:BA10"/>
    <mergeCell ref="BW8:BY8"/>
    <mergeCell ref="R1:T1"/>
    <mergeCell ref="R2:T2"/>
    <mergeCell ref="R3:T3"/>
    <mergeCell ref="U9:W10"/>
    <mergeCell ref="R9:T10"/>
    <mergeCell ref="BH9:BJ10"/>
    <mergeCell ref="BK9:BM10"/>
    <mergeCell ref="AG9:AI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7" r:id="rId1"/>
  <colBreaks count="4" manualBreakCount="4">
    <brk id="41" max="29" man="1"/>
    <brk id="62" max="29" man="1"/>
    <brk id="95" max="29" man="1"/>
    <brk id="11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7109375" style="95" customWidth="1"/>
    <col min="2" max="2" width="57.57421875" style="96" customWidth="1"/>
    <col min="3" max="3" width="16.421875" style="77" customWidth="1"/>
    <col min="4" max="4" width="17.00390625" style="77" customWidth="1"/>
    <col min="5" max="5" width="10.8515625" style="77" customWidth="1"/>
    <col min="6" max="6" width="12.57421875" style="77" customWidth="1"/>
    <col min="7" max="7" width="15.421875" style="97" bestFit="1" customWidth="1"/>
    <col min="8" max="16384" width="9.140625" style="97" customWidth="1"/>
  </cols>
  <sheetData>
    <row r="1" spans="1:6" ht="15.75">
      <c r="A1" s="280" t="s">
        <v>143</v>
      </c>
      <c r="B1" s="280"/>
      <c r="C1" s="280"/>
      <c r="D1" s="280"/>
      <c r="E1" s="280"/>
      <c r="F1" s="280"/>
    </row>
    <row r="2" spans="1:6" ht="15.75">
      <c r="A2" s="280" t="s">
        <v>312</v>
      </c>
      <c r="B2" s="280"/>
      <c r="C2" s="280"/>
      <c r="D2" s="280"/>
      <c r="E2" s="280"/>
      <c r="F2" s="280"/>
    </row>
    <row r="3" spans="1:6" ht="63">
      <c r="A3" s="4" t="s">
        <v>0</v>
      </c>
      <c r="B3" s="4" t="s">
        <v>1</v>
      </c>
      <c r="C3" s="33" t="s">
        <v>2</v>
      </c>
      <c r="D3" s="6" t="s">
        <v>313</v>
      </c>
      <c r="E3" s="33" t="s">
        <v>3</v>
      </c>
      <c r="F3" s="34" t="s">
        <v>4</v>
      </c>
    </row>
    <row r="4" spans="1:6" s="98" customFormat="1" ht="15.75">
      <c r="A4" s="70"/>
      <c r="B4" s="10" t="s">
        <v>5</v>
      </c>
      <c r="C4" s="182">
        <f>SUM(C5,C7,C13,C15)</f>
        <v>71398.37</v>
      </c>
      <c r="D4" s="182">
        <f>SUM(D5,D7,D13,D15,D19)</f>
        <v>60830.61806</v>
      </c>
      <c r="E4" s="182">
        <f>SUM(D4/C4*100)</f>
        <v>85.19888907828008</v>
      </c>
      <c r="F4" s="182">
        <f>SUM(D4-C4)</f>
        <v>-10567.751939999995</v>
      </c>
    </row>
    <row r="5" spans="1:6" s="98" customFormat="1" ht="15.75">
      <c r="A5" s="70">
        <v>1010000000</v>
      </c>
      <c r="B5" s="10" t="s">
        <v>6</v>
      </c>
      <c r="C5" s="182">
        <f>SUM(C6)</f>
        <v>60458.37</v>
      </c>
      <c r="D5" s="182">
        <f>SUM(D6)</f>
        <v>50969.85147</v>
      </c>
      <c r="E5" s="182">
        <f aca="true" t="shared" si="0" ref="E5:E53">SUM(D5/C5*100)</f>
        <v>84.30569906201572</v>
      </c>
      <c r="F5" s="182">
        <f aca="true" t="shared" si="1" ref="F5:F53">SUM(D5-C5)</f>
        <v>-9488.518530000001</v>
      </c>
    </row>
    <row r="6" spans="1:6" ht="15.75">
      <c r="A6" s="71">
        <v>1010200001</v>
      </c>
      <c r="B6" s="14" t="s">
        <v>7</v>
      </c>
      <c r="C6" s="183">
        <v>60458.37</v>
      </c>
      <c r="D6" s="184">
        <v>50969.85147</v>
      </c>
      <c r="E6" s="183">
        <f t="shared" si="0"/>
        <v>84.30569906201572</v>
      </c>
      <c r="F6" s="183">
        <f t="shared" si="1"/>
        <v>-9488.518530000001</v>
      </c>
    </row>
    <row r="7" spans="1:6" s="98" customFormat="1" ht="15.75">
      <c r="A7" s="70">
        <v>1050000000</v>
      </c>
      <c r="B7" s="10" t="s">
        <v>8</v>
      </c>
      <c r="C7" s="182">
        <f>SUM(C8:C9)</f>
        <v>8370</v>
      </c>
      <c r="D7" s="182">
        <f>SUM(D8:D9)</f>
        <v>8297.852710000001</v>
      </c>
      <c r="E7" s="182">
        <f t="shared" si="0"/>
        <v>99.13802520908006</v>
      </c>
      <c r="F7" s="182">
        <f t="shared" si="1"/>
        <v>-72.14728999999897</v>
      </c>
    </row>
    <row r="8" spans="1:6" ht="15.75">
      <c r="A8" s="71">
        <v>1050200001</v>
      </c>
      <c r="B8" s="13" t="s">
        <v>144</v>
      </c>
      <c r="C8" s="219">
        <v>8200</v>
      </c>
      <c r="D8" s="184">
        <v>8129.59871</v>
      </c>
      <c r="E8" s="183">
        <f t="shared" si="0"/>
        <v>99.14144768292684</v>
      </c>
      <c r="F8" s="183">
        <f t="shared" si="1"/>
        <v>-70.40128999999979</v>
      </c>
    </row>
    <row r="9" spans="1:6" ht="15.75">
      <c r="A9" s="71">
        <v>1050300001</v>
      </c>
      <c r="B9" s="13" t="s">
        <v>9</v>
      </c>
      <c r="C9" s="220">
        <v>170</v>
      </c>
      <c r="D9" s="184">
        <v>168.254</v>
      </c>
      <c r="E9" s="183">
        <f t="shared" si="0"/>
        <v>98.97294117647058</v>
      </c>
      <c r="F9" s="183">
        <f t="shared" si="1"/>
        <v>-1.7460000000000093</v>
      </c>
    </row>
    <row r="10" spans="1:6" s="98" customFormat="1" ht="15.75" hidden="1">
      <c r="A10" s="70">
        <v>1060000000</v>
      </c>
      <c r="B10" s="10" t="s">
        <v>145</v>
      </c>
      <c r="C10" s="182">
        <f>SUM(C11:C12)</f>
        <v>0</v>
      </c>
      <c r="D10" s="182">
        <f>SUM(D11:D12)</f>
        <v>0</v>
      </c>
      <c r="E10" s="182"/>
      <c r="F10" s="182">
        <f t="shared" si="1"/>
        <v>0</v>
      </c>
    </row>
    <row r="11" spans="1:6" ht="15.75" hidden="1">
      <c r="A11" s="71">
        <v>1060600000</v>
      </c>
      <c r="B11" s="13" t="s">
        <v>11</v>
      </c>
      <c r="C11" s="183"/>
      <c r="D11" s="184"/>
      <c r="E11" s="183"/>
      <c r="F11" s="183">
        <f t="shared" si="1"/>
        <v>0</v>
      </c>
    </row>
    <row r="12" spans="1:6" ht="15.75" hidden="1">
      <c r="A12" s="71">
        <v>1060103000</v>
      </c>
      <c r="B12" s="13" t="s">
        <v>146</v>
      </c>
      <c r="C12" s="183"/>
      <c r="D12" s="184"/>
      <c r="E12" s="183"/>
      <c r="F12" s="183">
        <f t="shared" si="1"/>
        <v>0</v>
      </c>
    </row>
    <row r="13" spans="1:6" s="98" customFormat="1" ht="31.5">
      <c r="A13" s="70">
        <v>1070000000</v>
      </c>
      <c r="B13" s="19" t="s">
        <v>13</v>
      </c>
      <c r="C13" s="182">
        <f>SUM(C14)</f>
        <v>70</v>
      </c>
      <c r="D13" s="185">
        <f>SUM(D14)</f>
        <v>53.64681</v>
      </c>
      <c r="E13" s="182">
        <f t="shared" si="0"/>
        <v>76.6383</v>
      </c>
      <c r="F13" s="182">
        <f t="shared" si="1"/>
        <v>-16.353189999999998</v>
      </c>
    </row>
    <row r="14" spans="1:6" ht="15.75">
      <c r="A14" s="71">
        <v>1070102001</v>
      </c>
      <c r="B14" s="13" t="s">
        <v>14</v>
      </c>
      <c r="C14" s="183">
        <v>70</v>
      </c>
      <c r="D14" s="184">
        <v>53.64681</v>
      </c>
      <c r="E14" s="183">
        <f t="shared" si="0"/>
        <v>76.6383</v>
      </c>
      <c r="F14" s="183">
        <f t="shared" si="1"/>
        <v>-16.353189999999998</v>
      </c>
    </row>
    <row r="15" spans="1:6" s="98" customFormat="1" ht="15.75">
      <c r="A15" s="70">
        <v>1080000000</v>
      </c>
      <c r="B15" s="10" t="s">
        <v>15</v>
      </c>
      <c r="C15" s="182">
        <f>SUM(C16:C19)</f>
        <v>2500</v>
      </c>
      <c r="D15" s="182">
        <f>D16+D18</f>
        <v>1509.1392700000001</v>
      </c>
      <c r="E15" s="182">
        <f t="shared" si="0"/>
        <v>60.3655708</v>
      </c>
      <c r="F15" s="182">
        <f t="shared" si="1"/>
        <v>-990.8607299999999</v>
      </c>
    </row>
    <row r="16" spans="1:6" ht="15.75">
      <c r="A16" s="71">
        <v>1080301001</v>
      </c>
      <c r="B16" s="14" t="s">
        <v>16</v>
      </c>
      <c r="C16" s="183">
        <v>1200</v>
      </c>
      <c r="D16" s="184">
        <v>840.67527</v>
      </c>
      <c r="E16" s="183">
        <f t="shared" si="0"/>
        <v>70.05627249999999</v>
      </c>
      <c r="F16" s="183">
        <f t="shared" si="1"/>
        <v>-359.32473000000005</v>
      </c>
    </row>
    <row r="17" spans="1:6" ht="15.75">
      <c r="A17" s="71">
        <v>1080401001</v>
      </c>
      <c r="B17" s="14" t="s">
        <v>147</v>
      </c>
      <c r="C17" s="183">
        <v>0</v>
      </c>
      <c r="D17" s="184"/>
      <c r="E17" s="183"/>
      <c r="F17" s="183">
        <f t="shared" si="1"/>
        <v>0</v>
      </c>
    </row>
    <row r="18" spans="1:6" ht="47.25" customHeight="1">
      <c r="A18" s="71">
        <v>1080714001</v>
      </c>
      <c r="B18" s="14" t="s">
        <v>296</v>
      </c>
      <c r="C18" s="183">
        <v>1300</v>
      </c>
      <c r="D18" s="184">
        <v>668.464</v>
      </c>
      <c r="E18" s="183">
        <f t="shared" si="0"/>
        <v>51.4203076923077</v>
      </c>
      <c r="F18" s="183">
        <f t="shared" si="1"/>
        <v>-631.536</v>
      </c>
    </row>
    <row r="19" spans="1:6" s="99" customFormat="1" ht="31.5">
      <c r="A19" s="70">
        <v>1090000000</v>
      </c>
      <c r="B19" s="19" t="s">
        <v>148</v>
      </c>
      <c r="C19" s="182">
        <v>0</v>
      </c>
      <c r="D19" s="188">
        <v>0.1278</v>
      </c>
      <c r="E19" s="182"/>
      <c r="F19" s="182">
        <f t="shared" si="1"/>
        <v>0.1278</v>
      </c>
    </row>
    <row r="20" spans="1:6" s="98" customFormat="1" ht="15" customHeight="1">
      <c r="A20" s="70"/>
      <c r="B20" s="10" t="s">
        <v>20</v>
      </c>
      <c r="C20" s="182">
        <f>SUM(C21,C22,C23,C24,C25,C26,C27,C28,C29,C43,C42,C51)</f>
        <v>8685.6</v>
      </c>
      <c r="D20" s="182">
        <f>D22+D23+D24+D25+D26+D27+D29+D28+D43+D42</f>
        <v>8121.30993</v>
      </c>
      <c r="E20" s="182">
        <f t="shared" si="0"/>
        <v>93.50315384084001</v>
      </c>
      <c r="F20" s="182">
        <f t="shared" si="1"/>
        <v>-564.29007</v>
      </c>
    </row>
    <row r="21" spans="1:6" ht="15.75" customHeight="1" hidden="1">
      <c r="A21" s="71">
        <v>1110305005</v>
      </c>
      <c r="B21" s="13" t="s">
        <v>149</v>
      </c>
      <c r="C21" s="183"/>
      <c r="D21" s="184"/>
      <c r="E21" s="183"/>
      <c r="F21" s="183">
        <f t="shared" si="1"/>
        <v>0</v>
      </c>
    </row>
    <row r="22" spans="1:6" ht="15.75">
      <c r="A22" s="72">
        <v>1110501101</v>
      </c>
      <c r="B22" s="73" t="s">
        <v>21</v>
      </c>
      <c r="C22" s="219">
        <v>1810</v>
      </c>
      <c r="D22" s="184">
        <v>2467.10584</v>
      </c>
      <c r="E22" s="183">
        <f t="shared" si="0"/>
        <v>136.30419005524863</v>
      </c>
      <c r="F22" s="183">
        <f t="shared" si="1"/>
        <v>657.1058400000002</v>
      </c>
    </row>
    <row r="23" spans="1:6" ht="15.75">
      <c r="A23" s="71">
        <v>1110503505</v>
      </c>
      <c r="B23" s="13" t="s">
        <v>22</v>
      </c>
      <c r="C23" s="219">
        <v>800</v>
      </c>
      <c r="D23" s="184">
        <v>427.71022</v>
      </c>
      <c r="E23" s="183">
        <f t="shared" si="0"/>
        <v>53.4637775</v>
      </c>
      <c r="F23" s="183">
        <f t="shared" si="1"/>
        <v>-372.28978</v>
      </c>
    </row>
    <row r="24" spans="1:6" s="99" customFormat="1" ht="15.75">
      <c r="A24" s="71">
        <v>1110701505</v>
      </c>
      <c r="B24" s="13" t="s">
        <v>23</v>
      </c>
      <c r="C24" s="219">
        <v>150</v>
      </c>
      <c r="D24" s="184">
        <v>84.4</v>
      </c>
      <c r="E24" s="183">
        <f t="shared" si="0"/>
        <v>56.26666666666667</v>
      </c>
      <c r="F24" s="183">
        <f t="shared" si="1"/>
        <v>-65.6</v>
      </c>
    </row>
    <row r="25" spans="1:6" s="99" customFormat="1" ht="15.75" customHeight="1">
      <c r="A25" s="71">
        <v>1120100001</v>
      </c>
      <c r="B25" s="14" t="s">
        <v>24</v>
      </c>
      <c r="C25" s="183">
        <v>670</v>
      </c>
      <c r="D25" s="184">
        <v>560.56334</v>
      </c>
      <c r="E25" s="183">
        <f t="shared" si="0"/>
        <v>83.66617014925374</v>
      </c>
      <c r="F25" s="183">
        <f t="shared" si="1"/>
        <v>-109.43665999999996</v>
      </c>
    </row>
    <row r="26" spans="1:6" ht="15.75">
      <c r="A26" s="71">
        <v>1130305005</v>
      </c>
      <c r="B26" s="14" t="s">
        <v>150</v>
      </c>
      <c r="C26" s="183">
        <v>342.9</v>
      </c>
      <c r="D26" s="184">
        <v>0</v>
      </c>
      <c r="E26" s="183">
        <f t="shared" si="0"/>
        <v>0</v>
      </c>
      <c r="F26" s="183">
        <f t="shared" si="1"/>
        <v>-342.9</v>
      </c>
    </row>
    <row r="27" spans="1:6" ht="31.5">
      <c r="A27" s="72">
        <v>1140203105</v>
      </c>
      <c r="B27" s="74" t="s">
        <v>151</v>
      </c>
      <c r="C27" s="183">
        <v>1762.7</v>
      </c>
      <c r="D27" s="184">
        <v>442.561</v>
      </c>
      <c r="E27" s="183">
        <f t="shared" si="0"/>
        <v>25.106994950927554</v>
      </c>
      <c r="F27" s="183">
        <f t="shared" si="1"/>
        <v>-1320.1390000000001</v>
      </c>
    </row>
    <row r="28" spans="1:6" ht="15.75">
      <c r="A28" s="71">
        <v>1140601410</v>
      </c>
      <c r="B28" s="14" t="s">
        <v>25</v>
      </c>
      <c r="C28" s="183">
        <v>800</v>
      </c>
      <c r="D28" s="184">
        <v>1784.56701</v>
      </c>
      <c r="E28" s="183">
        <f t="shared" si="0"/>
        <v>223.07087625</v>
      </c>
      <c r="F28" s="183">
        <f t="shared" si="1"/>
        <v>984.56701</v>
      </c>
    </row>
    <row r="29" spans="1:6" ht="15.75">
      <c r="A29" s="71">
        <v>1160000000</v>
      </c>
      <c r="B29" s="13" t="s">
        <v>26</v>
      </c>
      <c r="C29" s="183">
        <f>SUM(C30:C41)</f>
        <v>2335</v>
      </c>
      <c r="D29" s="183">
        <f>SUM(D30:D41)</f>
        <v>2311.03472</v>
      </c>
      <c r="E29" s="183">
        <f t="shared" si="0"/>
        <v>98.97364967880085</v>
      </c>
      <c r="F29" s="183">
        <f t="shared" si="1"/>
        <v>-23.965279999999893</v>
      </c>
    </row>
    <row r="30" spans="1:6" ht="15.75">
      <c r="A30" s="71">
        <v>1160301001</v>
      </c>
      <c r="B30" s="14" t="s">
        <v>27</v>
      </c>
      <c r="C30" s="183">
        <v>0</v>
      </c>
      <c r="D30" s="186">
        <v>-2.525</v>
      </c>
      <c r="E30" s="183" t="e">
        <f t="shared" si="0"/>
        <v>#DIV/0!</v>
      </c>
      <c r="F30" s="183">
        <f t="shared" si="1"/>
        <v>-2.525</v>
      </c>
    </row>
    <row r="31" spans="1:6" ht="17.25" customHeight="1">
      <c r="A31" s="71">
        <v>1160303001</v>
      </c>
      <c r="B31" s="14" t="s">
        <v>28</v>
      </c>
      <c r="C31" s="183">
        <v>40</v>
      </c>
      <c r="D31" s="187">
        <v>10.60058</v>
      </c>
      <c r="E31" s="183">
        <f t="shared" si="0"/>
        <v>26.501450000000006</v>
      </c>
      <c r="F31" s="183">
        <f t="shared" si="1"/>
        <v>-29.39942</v>
      </c>
    </row>
    <row r="32" spans="1:6" ht="0.75" customHeight="1" hidden="1">
      <c r="A32" s="71">
        <v>1160600000</v>
      </c>
      <c r="B32" s="14" t="s">
        <v>29</v>
      </c>
      <c r="C32" s="183">
        <v>0</v>
      </c>
      <c r="D32" s="187">
        <v>0</v>
      </c>
      <c r="E32" s="183"/>
      <c r="F32" s="183">
        <f t="shared" si="1"/>
        <v>0</v>
      </c>
    </row>
    <row r="33" spans="1:6" s="99" customFormat="1" ht="17.25" customHeight="1">
      <c r="A33" s="71">
        <v>1160800001</v>
      </c>
      <c r="B33" s="14" t="s">
        <v>152</v>
      </c>
      <c r="C33" s="183">
        <v>0</v>
      </c>
      <c r="D33" s="187">
        <v>105</v>
      </c>
      <c r="E33" s="183"/>
      <c r="F33" s="183">
        <f t="shared" si="1"/>
        <v>105</v>
      </c>
    </row>
    <row r="34" spans="1:6" ht="15.75" hidden="1">
      <c r="A34" s="71">
        <v>1161805005</v>
      </c>
      <c r="B34" s="14" t="s">
        <v>153</v>
      </c>
      <c r="C34" s="183">
        <v>0</v>
      </c>
      <c r="D34" s="184">
        <v>0</v>
      </c>
      <c r="E34" s="183"/>
      <c r="F34" s="183">
        <f t="shared" si="1"/>
        <v>0</v>
      </c>
    </row>
    <row r="35" spans="1:6" ht="15.75">
      <c r="A35" s="71">
        <v>1162105005</v>
      </c>
      <c r="B35" s="14" t="s">
        <v>154</v>
      </c>
      <c r="C35" s="183">
        <v>25</v>
      </c>
      <c r="D35" s="184">
        <v>101.79838</v>
      </c>
      <c r="E35" s="183">
        <f t="shared" si="0"/>
        <v>407.19352</v>
      </c>
      <c r="F35" s="183">
        <f t="shared" si="1"/>
        <v>76.79838</v>
      </c>
    </row>
    <row r="36" spans="1:6" ht="15.75">
      <c r="A36" s="72">
        <v>1162504001</v>
      </c>
      <c r="B36" s="74" t="s">
        <v>31</v>
      </c>
      <c r="C36" s="183">
        <v>20</v>
      </c>
      <c r="D36" s="184">
        <v>15.8</v>
      </c>
      <c r="E36" s="183">
        <f t="shared" si="0"/>
        <v>79</v>
      </c>
      <c r="F36" s="183">
        <f t="shared" si="1"/>
        <v>-4.199999999999999</v>
      </c>
    </row>
    <row r="37" spans="1:6" ht="15.75">
      <c r="A37" s="71">
        <v>1162700001</v>
      </c>
      <c r="B37" s="14" t="s">
        <v>32</v>
      </c>
      <c r="C37" s="183">
        <v>70</v>
      </c>
      <c r="D37" s="184">
        <v>157</v>
      </c>
      <c r="E37" s="183">
        <f t="shared" si="0"/>
        <v>224.28571428571428</v>
      </c>
      <c r="F37" s="183">
        <f t="shared" si="1"/>
        <v>87</v>
      </c>
    </row>
    <row r="38" spans="1:6" ht="15.75">
      <c r="A38" s="71">
        <v>1162800001</v>
      </c>
      <c r="B38" s="14" t="s">
        <v>33</v>
      </c>
      <c r="C38" s="183">
        <v>80</v>
      </c>
      <c r="D38" s="184">
        <v>121.68073</v>
      </c>
      <c r="E38" s="183">
        <f t="shared" si="0"/>
        <v>152.1009125</v>
      </c>
      <c r="F38" s="183">
        <f t="shared" si="1"/>
        <v>41.68073</v>
      </c>
    </row>
    <row r="39" spans="1:6" ht="31.5">
      <c r="A39" s="71">
        <v>1163000000</v>
      </c>
      <c r="B39" s="14" t="s">
        <v>155</v>
      </c>
      <c r="C39" s="183">
        <v>800</v>
      </c>
      <c r="D39" s="184">
        <v>538.3121</v>
      </c>
      <c r="E39" s="183">
        <f t="shared" si="0"/>
        <v>67.2890125</v>
      </c>
      <c r="F39" s="183">
        <f t="shared" si="1"/>
        <v>-261.6879</v>
      </c>
    </row>
    <row r="40" spans="1:6" ht="47.25">
      <c r="A40" s="71">
        <v>1163300000</v>
      </c>
      <c r="B40" s="14" t="s">
        <v>297</v>
      </c>
      <c r="C40" s="183" t="s">
        <v>298</v>
      </c>
      <c r="D40" s="184">
        <v>60.72007</v>
      </c>
      <c r="E40" s="183"/>
      <c r="F40" s="183"/>
    </row>
    <row r="41" spans="1:6" ht="31.5">
      <c r="A41" s="71">
        <v>1169000000</v>
      </c>
      <c r="B41" s="14" t="s">
        <v>35</v>
      </c>
      <c r="C41" s="183">
        <v>1300</v>
      </c>
      <c r="D41" s="184">
        <v>1202.64786</v>
      </c>
      <c r="E41" s="183">
        <f t="shared" si="0"/>
        <v>92.51137384615384</v>
      </c>
      <c r="F41" s="183">
        <f t="shared" si="1"/>
        <v>-97.35213999999996</v>
      </c>
    </row>
    <row r="42" spans="1:6" ht="15.75">
      <c r="A42" s="71">
        <v>1170105005</v>
      </c>
      <c r="B42" s="14" t="s">
        <v>156</v>
      </c>
      <c r="C42" s="183">
        <v>0</v>
      </c>
      <c r="D42" s="184">
        <v>0</v>
      </c>
      <c r="E42" s="183" t="e">
        <f t="shared" si="0"/>
        <v>#DIV/0!</v>
      </c>
      <c r="F42" s="183">
        <f t="shared" si="1"/>
        <v>0</v>
      </c>
    </row>
    <row r="43" spans="1:6" ht="15.75">
      <c r="A43" s="71">
        <v>1170505005</v>
      </c>
      <c r="B43" s="13" t="s">
        <v>36</v>
      </c>
      <c r="C43" s="183">
        <v>15</v>
      </c>
      <c r="D43" s="184">
        <v>43.3678</v>
      </c>
      <c r="E43" s="183">
        <f t="shared" si="0"/>
        <v>289.1186666666667</v>
      </c>
      <c r="F43" s="183">
        <f t="shared" si="1"/>
        <v>28.367800000000003</v>
      </c>
    </row>
    <row r="44" spans="1:6" s="98" customFormat="1" ht="15.75">
      <c r="A44" s="70"/>
      <c r="B44" s="10" t="s">
        <v>38</v>
      </c>
      <c r="C44" s="182">
        <f>SUM(C4,C20)</f>
        <v>80083.97</v>
      </c>
      <c r="D44" s="182">
        <f>D4+D20</f>
        <v>68951.92799</v>
      </c>
      <c r="E44" s="182">
        <f t="shared" si="0"/>
        <v>86.09953776017846</v>
      </c>
      <c r="F44" s="182">
        <f t="shared" si="1"/>
        <v>-11132.042010000005</v>
      </c>
    </row>
    <row r="45" spans="1:7" s="98" customFormat="1" ht="15.75">
      <c r="A45" s="70"/>
      <c r="B45" s="10" t="s">
        <v>39</v>
      </c>
      <c r="C45" s="182">
        <f>C46+C47+C48+C49+C50</f>
        <v>315975.69960000005</v>
      </c>
      <c r="D45" s="182">
        <f>D46+D47+D48+D49+D50+D51</f>
        <v>231177.13851</v>
      </c>
      <c r="E45" s="182">
        <f t="shared" si="0"/>
        <v>73.16294854403415</v>
      </c>
      <c r="F45" s="182">
        <f t="shared" si="1"/>
        <v>-84798.56109000006</v>
      </c>
      <c r="G45" s="100"/>
    </row>
    <row r="46" spans="1:6" ht="15.75">
      <c r="A46" s="72">
        <v>2020100000</v>
      </c>
      <c r="B46" s="73" t="s">
        <v>289</v>
      </c>
      <c r="C46" s="220">
        <v>68195.1</v>
      </c>
      <c r="D46" s="221">
        <v>56135.2</v>
      </c>
      <c r="E46" s="183">
        <f t="shared" si="0"/>
        <v>82.31559158942503</v>
      </c>
      <c r="F46" s="183">
        <f t="shared" si="1"/>
        <v>-12059.900000000009</v>
      </c>
    </row>
    <row r="47" spans="1:6" ht="15.75">
      <c r="A47" s="72">
        <v>2020200000</v>
      </c>
      <c r="B47" s="73" t="s">
        <v>287</v>
      </c>
      <c r="C47" s="219">
        <v>78147.565</v>
      </c>
      <c r="D47" s="184">
        <v>42003.094</v>
      </c>
      <c r="E47" s="183">
        <f t="shared" si="0"/>
        <v>53.74843605171831</v>
      </c>
      <c r="F47" s="183">
        <f t="shared" si="1"/>
        <v>-36144.471000000005</v>
      </c>
    </row>
    <row r="48" spans="1:6" ht="15.75">
      <c r="A48" s="72">
        <v>2020300000</v>
      </c>
      <c r="B48" s="73" t="s">
        <v>288</v>
      </c>
      <c r="C48" s="219">
        <v>159500.4756</v>
      </c>
      <c r="D48" s="222">
        <v>127341.9006</v>
      </c>
      <c r="E48" s="183">
        <f t="shared" si="0"/>
        <v>79.83794413212395</v>
      </c>
      <c r="F48" s="183">
        <f t="shared" si="1"/>
        <v>-32158.57500000001</v>
      </c>
    </row>
    <row r="49" spans="1:6" ht="15.75">
      <c r="A49" s="72">
        <v>2020400000</v>
      </c>
      <c r="B49" s="73" t="s">
        <v>44</v>
      </c>
      <c r="C49" s="219">
        <v>9622.559</v>
      </c>
      <c r="D49" s="223">
        <v>7441.084</v>
      </c>
      <c r="E49" s="183">
        <f t="shared" si="0"/>
        <v>77.3295752200636</v>
      </c>
      <c r="F49" s="183">
        <f t="shared" si="1"/>
        <v>-2181.4749999999995</v>
      </c>
    </row>
    <row r="50" spans="1:6" ht="30" customHeight="1">
      <c r="A50" s="72">
        <v>2020900000</v>
      </c>
      <c r="B50" s="74" t="s">
        <v>308</v>
      </c>
      <c r="C50" s="219">
        <v>510</v>
      </c>
      <c r="D50" s="223">
        <v>510</v>
      </c>
      <c r="E50" s="183">
        <f t="shared" si="0"/>
        <v>100</v>
      </c>
      <c r="F50" s="183">
        <f t="shared" si="1"/>
        <v>0</v>
      </c>
    </row>
    <row r="51" spans="1:6" ht="15" customHeight="1">
      <c r="A51" s="70">
        <v>2190500005</v>
      </c>
      <c r="B51" s="10" t="s">
        <v>157</v>
      </c>
      <c r="C51" s="182">
        <v>0</v>
      </c>
      <c r="D51" s="188">
        <v>-2254.14009</v>
      </c>
      <c r="E51" s="182"/>
      <c r="F51" s="182">
        <f>SUM(D51-C51)</f>
        <v>-2254.14009</v>
      </c>
    </row>
    <row r="52" spans="1:6" s="98" customFormat="1" ht="9" customHeight="1" hidden="1">
      <c r="A52" s="70">
        <v>3000000000</v>
      </c>
      <c r="B52" s="19" t="s">
        <v>45</v>
      </c>
      <c r="C52" s="224">
        <v>0</v>
      </c>
      <c r="D52" s="188">
        <v>0</v>
      </c>
      <c r="E52" s="182" t="e">
        <f t="shared" si="0"/>
        <v>#DIV/0!</v>
      </c>
      <c r="F52" s="182">
        <f t="shared" si="1"/>
        <v>0</v>
      </c>
    </row>
    <row r="53" spans="1:6" s="98" customFormat="1" ht="16.5" customHeight="1">
      <c r="A53" s="70"/>
      <c r="B53" s="10" t="s">
        <v>46</v>
      </c>
      <c r="C53" s="182">
        <f>SUM(C44,C45,C52)</f>
        <v>396059.6696</v>
      </c>
      <c r="D53" s="189">
        <f>D44+D45</f>
        <v>300129.06649999996</v>
      </c>
      <c r="E53" s="182">
        <f t="shared" si="0"/>
        <v>75.77874990480979</v>
      </c>
      <c r="F53" s="182">
        <f t="shared" si="1"/>
        <v>-95930.60310000007</v>
      </c>
    </row>
    <row r="54" spans="1:6" s="98" customFormat="1" ht="15.75">
      <c r="A54" s="70"/>
      <c r="B54" s="22" t="s">
        <v>47</v>
      </c>
      <c r="C54" s="182">
        <f>C115-C53</f>
        <v>13787.940000000002</v>
      </c>
      <c r="D54" s="182">
        <f>D115-D53</f>
        <v>-18157.341190000006</v>
      </c>
      <c r="E54" s="81"/>
      <c r="F54" s="81"/>
    </row>
    <row r="55" spans="1:6" ht="15.75">
      <c r="A55" s="75"/>
      <c r="B55" s="76"/>
      <c r="C55" s="225"/>
      <c r="D55" s="225"/>
      <c r="E55" s="226"/>
      <c r="F55" s="227"/>
    </row>
    <row r="56" spans="1:6" ht="63">
      <c r="A56" s="78" t="s">
        <v>0</v>
      </c>
      <c r="B56" s="78" t="s">
        <v>48</v>
      </c>
      <c r="C56" s="33" t="s">
        <v>2</v>
      </c>
      <c r="D56" s="6" t="s">
        <v>313</v>
      </c>
      <c r="E56" s="33" t="s">
        <v>3</v>
      </c>
      <c r="F56" s="34" t="s">
        <v>4</v>
      </c>
    </row>
    <row r="57" spans="1:6" ht="15.75">
      <c r="A57" s="165">
        <v>1</v>
      </c>
      <c r="B57" s="78">
        <v>2</v>
      </c>
      <c r="C57" s="166">
        <v>3</v>
      </c>
      <c r="D57" s="166">
        <v>4</v>
      </c>
      <c r="E57" s="166">
        <v>5</v>
      </c>
      <c r="F57" s="166">
        <v>6</v>
      </c>
    </row>
    <row r="58" spans="1:6" s="98" customFormat="1" ht="15.75">
      <c r="A58" s="80" t="s">
        <v>49</v>
      </c>
      <c r="B58" s="153" t="s">
        <v>50</v>
      </c>
      <c r="C58" s="173">
        <f>C59+C60+C61+C62+C63+C65+C64</f>
        <v>20513.7756</v>
      </c>
      <c r="D58" s="164">
        <f>D59+D60+D61+D62+D63+D65+D64</f>
        <v>15314.89922</v>
      </c>
      <c r="E58" s="82">
        <f>SUM(D58/C58*100)</f>
        <v>74.65665764619166</v>
      </c>
      <c r="F58" s="82">
        <f>SUM(D58-C58)</f>
        <v>-5198.8763800000015</v>
      </c>
    </row>
    <row r="59" spans="1:6" s="98" customFormat="1" ht="31.5">
      <c r="A59" s="83" t="s">
        <v>292</v>
      </c>
      <c r="B59" s="156" t="s">
        <v>293</v>
      </c>
      <c r="C59" s="174">
        <v>30</v>
      </c>
      <c r="D59" s="174">
        <v>1.32</v>
      </c>
      <c r="E59" s="85"/>
      <c r="F59" s="85"/>
    </row>
    <row r="60" spans="1:6" ht="15.75">
      <c r="A60" s="83" t="s">
        <v>51</v>
      </c>
      <c r="B60" s="84" t="s">
        <v>52</v>
      </c>
      <c r="C60" s="174">
        <v>14424.8</v>
      </c>
      <c r="D60" s="174">
        <v>10999.47833</v>
      </c>
      <c r="E60" s="85">
        <f aca="true" t="shared" si="2" ref="E60:E115">SUM(D60/C60*100)</f>
        <v>76.25393995064057</v>
      </c>
      <c r="F60" s="85">
        <f aca="true" t="shared" si="3" ref="F60:F115">SUM(D60-C60)</f>
        <v>-3425.3216699999994</v>
      </c>
    </row>
    <row r="61" spans="1:6" ht="16.5" customHeight="1">
      <c r="A61" s="83" t="s">
        <v>158</v>
      </c>
      <c r="B61" s="84" t="s">
        <v>282</v>
      </c>
      <c r="C61" s="174">
        <v>1.882</v>
      </c>
      <c r="D61" s="174">
        <v>0</v>
      </c>
      <c r="E61" s="85"/>
      <c r="F61" s="85">
        <f t="shared" si="3"/>
        <v>-1.882</v>
      </c>
    </row>
    <row r="62" spans="1:6" ht="31.5" customHeight="1">
      <c r="A62" s="83" t="s">
        <v>159</v>
      </c>
      <c r="B62" s="84" t="s">
        <v>160</v>
      </c>
      <c r="C62" s="174">
        <v>3588</v>
      </c>
      <c r="D62" s="174">
        <v>2542.49907</v>
      </c>
      <c r="E62" s="85">
        <f t="shared" si="2"/>
        <v>70.86117809364548</v>
      </c>
      <c r="F62" s="85">
        <f t="shared" si="3"/>
        <v>-1045.5009300000002</v>
      </c>
    </row>
    <row r="63" spans="1:6" ht="16.5" customHeight="1">
      <c r="A63" s="83" t="s">
        <v>53</v>
      </c>
      <c r="B63" s="84" t="s">
        <v>54</v>
      </c>
      <c r="C63" s="174">
        <v>6</v>
      </c>
      <c r="D63" s="174">
        <v>0</v>
      </c>
      <c r="E63" s="85"/>
      <c r="F63" s="85">
        <f t="shared" si="3"/>
        <v>-6</v>
      </c>
    </row>
    <row r="64" spans="1:6" ht="15.75" customHeight="1">
      <c r="A64" s="83" t="s">
        <v>161</v>
      </c>
      <c r="B64" s="84" t="s">
        <v>286</v>
      </c>
      <c r="C64" s="175">
        <v>270</v>
      </c>
      <c r="D64" s="175">
        <v>0</v>
      </c>
      <c r="E64" s="85">
        <f t="shared" si="2"/>
        <v>0</v>
      </c>
      <c r="F64" s="85">
        <f t="shared" si="3"/>
        <v>-270</v>
      </c>
    </row>
    <row r="65" spans="1:6" ht="16.5" customHeight="1">
      <c r="A65" s="83" t="s">
        <v>281</v>
      </c>
      <c r="B65" s="84" t="s">
        <v>285</v>
      </c>
      <c r="C65" s="174">
        <v>2193.0936</v>
      </c>
      <c r="D65" s="174">
        <v>1771.60182</v>
      </c>
      <c r="E65" s="85">
        <f t="shared" si="2"/>
        <v>80.78094888426102</v>
      </c>
      <c r="F65" s="85">
        <f t="shared" si="3"/>
        <v>-421.49178000000006</v>
      </c>
    </row>
    <row r="66" spans="1:6" s="98" customFormat="1" ht="15.75">
      <c r="A66" s="86" t="s">
        <v>56</v>
      </c>
      <c r="B66" s="154" t="s">
        <v>57</v>
      </c>
      <c r="C66" s="173">
        <f>C67</f>
        <v>1467.6</v>
      </c>
      <c r="D66" s="173">
        <f>D67</f>
        <v>1467.6</v>
      </c>
      <c r="E66" s="82">
        <f t="shared" si="2"/>
        <v>100</v>
      </c>
      <c r="F66" s="82">
        <f t="shared" si="3"/>
        <v>0</v>
      </c>
    </row>
    <row r="67" spans="1:6" ht="15.75">
      <c r="A67" s="87" t="s">
        <v>58</v>
      </c>
      <c r="B67" s="17" t="s">
        <v>284</v>
      </c>
      <c r="C67" s="174">
        <v>1467.6</v>
      </c>
      <c r="D67" s="174">
        <v>1467.6</v>
      </c>
      <c r="E67" s="85">
        <f t="shared" si="2"/>
        <v>100</v>
      </c>
      <c r="F67" s="85">
        <f t="shared" si="3"/>
        <v>0</v>
      </c>
    </row>
    <row r="68" spans="1:6" s="98" customFormat="1" ht="15.75">
      <c r="A68" s="80" t="s">
        <v>60</v>
      </c>
      <c r="B68" s="153" t="s">
        <v>61</v>
      </c>
      <c r="C68" s="173">
        <f>SUM(C69:C71)</f>
        <v>1806.7</v>
      </c>
      <c r="D68" s="173">
        <f>SUM(D69:D71)</f>
        <v>1458.9864300000002</v>
      </c>
      <c r="E68" s="82">
        <f t="shared" si="2"/>
        <v>80.75421652737035</v>
      </c>
      <c r="F68" s="82">
        <f t="shared" si="3"/>
        <v>-347.7135699999999</v>
      </c>
    </row>
    <row r="69" spans="1:6" ht="15.75">
      <c r="A69" s="83" t="s">
        <v>62</v>
      </c>
      <c r="B69" s="84" t="s">
        <v>63</v>
      </c>
      <c r="C69" s="174">
        <v>500</v>
      </c>
      <c r="D69" s="174">
        <v>442.859</v>
      </c>
      <c r="E69" s="85">
        <f t="shared" si="2"/>
        <v>88.5718</v>
      </c>
      <c r="F69" s="85">
        <f t="shared" si="3"/>
        <v>-57.14100000000002</v>
      </c>
    </row>
    <row r="70" spans="1:6" ht="15.75">
      <c r="A70" s="236" t="s">
        <v>330</v>
      </c>
      <c r="B70" s="84" t="s">
        <v>331</v>
      </c>
      <c r="C70" s="174">
        <v>774.9</v>
      </c>
      <c r="D70" s="174">
        <v>660.45401</v>
      </c>
      <c r="E70" s="85">
        <f t="shared" si="2"/>
        <v>85.23086978965028</v>
      </c>
      <c r="F70" s="85">
        <f t="shared" si="3"/>
        <v>-114.44598999999994</v>
      </c>
    </row>
    <row r="71" spans="1:6" ht="15.75">
      <c r="A71" s="157" t="s">
        <v>162</v>
      </c>
      <c r="B71" s="88" t="s">
        <v>163</v>
      </c>
      <c r="C71" s="174">
        <v>531.8</v>
      </c>
      <c r="D71" s="174">
        <v>355.67342</v>
      </c>
      <c r="E71" s="85">
        <f t="shared" si="2"/>
        <v>66.8810492666416</v>
      </c>
      <c r="F71" s="85">
        <f t="shared" si="3"/>
        <v>-176.12657999999993</v>
      </c>
    </row>
    <row r="72" spans="1:6" s="98" customFormat="1" ht="15.75">
      <c r="A72" s="80" t="s">
        <v>66</v>
      </c>
      <c r="B72" s="153" t="s">
        <v>67</v>
      </c>
      <c r="C72" s="176">
        <f>SUM(C73:C76)</f>
        <v>55340.36600000001</v>
      </c>
      <c r="D72" s="176">
        <f>SUM(D73:D76)</f>
        <v>20804.664810000002</v>
      </c>
      <c r="E72" s="82">
        <f t="shared" si="2"/>
        <v>37.594013762034024</v>
      </c>
      <c r="F72" s="82">
        <f t="shared" si="3"/>
        <v>-34535.70119000001</v>
      </c>
    </row>
    <row r="73" spans="1:6" ht="15.75">
      <c r="A73" s="83" t="s">
        <v>164</v>
      </c>
      <c r="B73" s="84" t="s">
        <v>165</v>
      </c>
      <c r="C73" s="177">
        <v>878.6</v>
      </c>
      <c r="D73" s="174">
        <v>0</v>
      </c>
      <c r="E73" s="85">
        <f t="shared" si="2"/>
        <v>0</v>
      </c>
      <c r="F73" s="85">
        <f t="shared" si="3"/>
        <v>-878.6</v>
      </c>
    </row>
    <row r="74" spans="1:6" s="98" customFormat="1" ht="15.75">
      <c r="A74" s="83" t="s">
        <v>70</v>
      </c>
      <c r="B74" s="84" t="s">
        <v>71</v>
      </c>
      <c r="C74" s="177">
        <v>1882.95</v>
      </c>
      <c r="D74" s="174">
        <v>1882.95</v>
      </c>
      <c r="E74" s="85"/>
      <c r="F74" s="85">
        <f t="shared" si="3"/>
        <v>0</v>
      </c>
    </row>
    <row r="75" spans="1:6" ht="15.75">
      <c r="A75" s="83" t="s">
        <v>68</v>
      </c>
      <c r="B75" s="84" t="s">
        <v>69</v>
      </c>
      <c r="C75" s="177">
        <v>37290.116</v>
      </c>
      <c r="D75" s="174">
        <v>18151.628</v>
      </c>
      <c r="E75" s="85">
        <f t="shared" si="2"/>
        <v>48.67678073192371</v>
      </c>
      <c r="F75" s="85">
        <f t="shared" si="3"/>
        <v>-19138.488</v>
      </c>
    </row>
    <row r="76" spans="1:6" ht="15.75">
      <c r="A76" s="83" t="s">
        <v>72</v>
      </c>
      <c r="B76" s="84" t="s">
        <v>73</v>
      </c>
      <c r="C76" s="177">
        <v>15288.7</v>
      </c>
      <c r="D76" s="174">
        <v>770.08681</v>
      </c>
      <c r="E76" s="85">
        <f t="shared" si="2"/>
        <v>5.036967237240576</v>
      </c>
      <c r="F76" s="85">
        <f t="shared" si="3"/>
        <v>-14518.61319</v>
      </c>
    </row>
    <row r="77" spans="1:6" s="98" customFormat="1" ht="15.75">
      <c r="A77" s="80" t="s">
        <v>74</v>
      </c>
      <c r="B77" s="153" t="s">
        <v>75</v>
      </c>
      <c r="C77" s="173">
        <f>SUM(C78:C80)</f>
        <v>13552.768</v>
      </c>
      <c r="D77" s="173">
        <f>SUM(D78:D80)</f>
        <v>12453.072</v>
      </c>
      <c r="E77" s="82">
        <f t="shared" si="2"/>
        <v>91.88581992992133</v>
      </c>
      <c r="F77" s="82">
        <f t="shared" si="3"/>
        <v>-1099.696</v>
      </c>
    </row>
    <row r="78" spans="1:6" ht="15.75">
      <c r="A78" s="83" t="s">
        <v>76</v>
      </c>
      <c r="B78" s="89" t="s">
        <v>77</v>
      </c>
      <c r="C78" s="174">
        <v>10306.068</v>
      </c>
      <c r="D78" s="174">
        <v>10306.068</v>
      </c>
      <c r="E78" s="85">
        <f t="shared" si="2"/>
        <v>100</v>
      </c>
      <c r="F78" s="85">
        <f t="shared" si="3"/>
        <v>0</v>
      </c>
    </row>
    <row r="79" spans="1:6" ht="15.75">
      <c r="A79" s="83" t="s">
        <v>78</v>
      </c>
      <c r="B79" s="89" t="s">
        <v>79</v>
      </c>
      <c r="C79" s="174">
        <v>0</v>
      </c>
      <c r="D79" s="174">
        <v>0</v>
      </c>
      <c r="E79" s="85"/>
      <c r="F79" s="85">
        <f t="shared" si="3"/>
        <v>0</v>
      </c>
    </row>
    <row r="80" spans="1:6" ht="15.75">
      <c r="A80" s="83" t="s">
        <v>80</v>
      </c>
      <c r="B80" s="84" t="s">
        <v>81</v>
      </c>
      <c r="C80" s="174">
        <v>3246.7</v>
      </c>
      <c r="D80" s="174">
        <v>2147.004</v>
      </c>
      <c r="E80" s="85">
        <f t="shared" si="2"/>
        <v>66.12880771244647</v>
      </c>
      <c r="F80" s="85">
        <f t="shared" si="3"/>
        <v>-1099.696</v>
      </c>
    </row>
    <row r="81" spans="1:6" s="98" customFormat="1" ht="15.75">
      <c r="A81" s="80" t="s">
        <v>82</v>
      </c>
      <c r="B81" s="155" t="s">
        <v>83</v>
      </c>
      <c r="C81" s="176">
        <f>SUM(C82)</f>
        <v>60</v>
      </c>
      <c r="D81" s="176">
        <f>SUM(D82)</f>
        <v>49.6</v>
      </c>
      <c r="E81" s="82">
        <f t="shared" si="2"/>
        <v>82.66666666666667</v>
      </c>
      <c r="F81" s="82">
        <f t="shared" si="3"/>
        <v>-10.399999999999999</v>
      </c>
    </row>
    <row r="82" spans="1:6" ht="31.5">
      <c r="A82" s="83" t="s">
        <v>84</v>
      </c>
      <c r="B82" s="89" t="s">
        <v>85</v>
      </c>
      <c r="C82" s="177">
        <v>60</v>
      </c>
      <c r="D82" s="174">
        <v>49.6</v>
      </c>
      <c r="E82" s="85">
        <f t="shared" si="2"/>
        <v>82.66666666666667</v>
      </c>
      <c r="F82" s="85">
        <f t="shared" si="3"/>
        <v>-10.399999999999999</v>
      </c>
    </row>
    <row r="83" spans="1:6" s="98" customFormat="1" ht="15.75">
      <c r="A83" s="80" t="s">
        <v>86</v>
      </c>
      <c r="B83" s="155" t="s">
        <v>87</v>
      </c>
      <c r="C83" s="176">
        <f>SUM(C84:C87)</f>
        <v>222388.77000000002</v>
      </c>
      <c r="D83" s="176">
        <f>SUM(D84:D87)</f>
        <v>160416.89059</v>
      </c>
      <c r="E83" s="82">
        <f t="shared" si="2"/>
        <v>72.13353920254157</v>
      </c>
      <c r="F83" s="82">
        <f t="shared" si="3"/>
        <v>-61971.87941000002</v>
      </c>
    </row>
    <row r="84" spans="1:6" ht="15.75">
      <c r="A84" s="83" t="s">
        <v>88</v>
      </c>
      <c r="B84" s="89" t="s">
        <v>89</v>
      </c>
      <c r="C84" s="177">
        <v>49779.03</v>
      </c>
      <c r="D84" s="174">
        <v>36236.1629</v>
      </c>
      <c r="E84" s="85">
        <f t="shared" si="2"/>
        <v>72.79403174388895</v>
      </c>
      <c r="F84" s="85">
        <f t="shared" si="3"/>
        <v>-13542.867099999996</v>
      </c>
    </row>
    <row r="85" spans="1:6" ht="15.75">
      <c r="A85" s="83" t="s">
        <v>90</v>
      </c>
      <c r="B85" s="89" t="s">
        <v>91</v>
      </c>
      <c r="C85" s="177">
        <v>165660.54</v>
      </c>
      <c r="D85" s="174">
        <v>118090.48659</v>
      </c>
      <c r="E85" s="85">
        <f t="shared" si="2"/>
        <v>71.28462009721808</v>
      </c>
      <c r="F85" s="85">
        <f t="shared" si="3"/>
        <v>-47570.05341000001</v>
      </c>
    </row>
    <row r="86" spans="1:6" ht="15.75">
      <c r="A86" s="83" t="s">
        <v>92</v>
      </c>
      <c r="B86" s="89" t="s">
        <v>93</v>
      </c>
      <c r="C86" s="177">
        <v>3110</v>
      </c>
      <c r="D86" s="174">
        <v>2837.08094</v>
      </c>
      <c r="E86" s="85">
        <f t="shared" si="2"/>
        <v>91.22446752411575</v>
      </c>
      <c r="F86" s="85">
        <f t="shared" si="3"/>
        <v>-272.9190600000002</v>
      </c>
    </row>
    <row r="87" spans="1:6" ht="15.75">
      <c r="A87" s="83" t="s">
        <v>94</v>
      </c>
      <c r="B87" s="89" t="s">
        <v>95</v>
      </c>
      <c r="C87" s="177">
        <v>3839.2</v>
      </c>
      <c r="D87" s="174">
        <v>3253.16016</v>
      </c>
      <c r="E87" s="85">
        <f t="shared" si="2"/>
        <v>84.73536570118775</v>
      </c>
      <c r="F87" s="85">
        <f t="shared" si="3"/>
        <v>-586.0398399999999</v>
      </c>
    </row>
    <row r="88" spans="1:6" s="98" customFormat="1" ht="15.75">
      <c r="A88" s="80" t="s">
        <v>96</v>
      </c>
      <c r="B88" s="153" t="s">
        <v>280</v>
      </c>
      <c r="C88" s="173">
        <f>C89</f>
        <v>4778.495</v>
      </c>
      <c r="D88" s="173">
        <f>SUM(D89)</f>
        <v>3697.43798</v>
      </c>
      <c r="E88" s="82">
        <f t="shared" si="2"/>
        <v>77.3766213002211</v>
      </c>
      <c r="F88" s="82">
        <f t="shared" si="3"/>
        <v>-1081.0570199999997</v>
      </c>
    </row>
    <row r="89" spans="1:6" ht="15.75">
      <c r="A89" s="83" t="s">
        <v>98</v>
      </c>
      <c r="B89" s="84" t="s">
        <v>166</v>
      </c>
      <c r="C89" s="174">
        <v>4778.495</v>
      </c>
      <c r="D89" s="174">
        <v>3697.43798</v>
      </c>
      <c r="E89" s="85">
        <f t="shared" si="2"/>
        <v>77.3766213002211</v>
      </c>
      <c r="F89" s="85">
        <f t="shared" si="3"/>
        <v>-1081.0570199999997</v>
      </c>
    </row>
    <row r="90" spans="1:6" s="98" customFormat="1" ht="15.75">
      <c r="A90" s="80" t="s">
        <v>100</v>
      </c>
      <c r="B90" s="153" t="s">
        <v>267</v>
      </c>
      <c r="C90" s="173">
        <f>SUM(C91:C95)</f>
        <v>32504.77</v>
      </c>
      <c r="D90" s="173">
        <f>SUM(D91:D95)</f>
        <v>21668.15544</v>
      </c>
      <c r="E90" s="82">
        <f t="shared" si="2"/>
        <v>66.66146365594958</v>
      </c>
      <c r="F90" s="82">
        <f t="shared" si="3"/>
        <v>-10836.614560000002</v>
      </c>
    </row>
    <row r="91" spans="1:6" ht="15.75">
      <c r="A91" s="83" t="s">
        <v>102</v>
      </c>
      <c r="B91" s="84" t="s">
        <v>167</v>
      </c>
      <c r="C91" s="174">
        <v>20643.72222</v>
      </c>
      <c r="D91" s="174">
        <v>13893.58123</v>
      </c>
      <c r="E91" s="85">
        <f t="shared" si="2"/>
        <v>67.30172534747467</v>
      </c>
      <c r="F91" s="85">
        <f t="shared" si="3"/>
        <v>-6750.14099</v>
      </c>
    </row>
    <row r="92" spans="1:6" ht="15.75">
      <c r="A92" s="83" t="s">
        <v>104</v>
      </c>
      <c r="B92" s="84" t="s">
        <v>105</v>
      </c>
      <c r="C92" s="174">
        <v>6382.62178</v>
      </c>
      <c r="D92" s="174">
        <v>3896.92528</v>
      </c>
      <c r="E92" s="85">
        <f t="shared" si="2"/>
        <v>61.055243665088355</v>
      </c>
      <c r="F92" s="85">
        <f t="shared" si="3"/>
        <v>-2485.6965000000005</v>
      </c>
    </row>
    <row r="93" spans="1:6" ht="15" customHeight="1">
      <c r="A93" s="83" t="s">
        <v>106</v>
      </c>
      <c r="B93" s="84" t="s">
        <v>283</v>
      </c>
      <c r="C93" s="174">
        <v>169.584</v>
      </c>
      <c r="D93" s="174">
        <v>107.48187</v>
      </c>
      <c r="E93" s="85">
        <f t="shared" si="2"/>
        <v>63.379723322954995</v>
      </c>
      <c r="F93" s="85">
        <f t="shared" si="3"/>
        <v>-62.10213</v>
      </c>
    </row>
    <row r="94" spans="1:6" ht="15.75">
      <c r="A94" s="83" t="s">
        <v>108</v>
      </c>
      <c r="B94" s="90" t="s">
        <v>109</v>
      </c>
      <c r="C94" s="174">
        <v>5308.842</v>
      </c>
      <c r="D94" s="174">
        <v>3770.16706</v>
      </c>
      <c r="E94" s="85">
        <f t="shared" si="2"/>
        <v>71.01675016886922</v>
      </c>
      <c r="F94" s="85">
        <f t="shared" si="3"/>
        <v>-1538.6749399999994</v>
      </c>
    </row>
    <row r="95" spans="1:6" ht="15.75" hidden="1">
      <c r="A95" s="83" t="s">
        <v>110</v>
      </c>
      <c r="B95" s="84" t="s">
        <v>168</v>
      </c>
      <c r="C95" s="174"/>
      <c r="D95" s="174"/>
      <c r="E95" s="85"/>
      <c r="F95" s="85">
        <f t="shared" si="3"/>
        <v>0</v>
      </c>
    </row>
    <row r="96" spans="1:6" s="98" customFormat="1" ht="15.75">
      <c r="A96" s="91">
        <v>1000</v>
      </c>
      <c r="B96" s="153" t="s">
        <v>112</v>
      </c>
      <c r="C96" s="173">
        <f>SUM(C97:C100)</f>
        <v>17368.465</v>
      </c>
      <c r="D96" s="173">
        <f>SUM(D97:D100)</f>
        <v>11626.14479</v>
      </c>
      <c r="E96" s="82">
        <f t="shared" si="2"/>
        <v>66.93824002293812</v>
      </c>
      <c r="F96" s="82">
        <f t="shared" si="3"/>
        <v>-5742.32021</v>
      </c>
    </row>
    <row r="97" spans="1:6" ht="15.75">
      <c r="A97" s="79">
        <v>1001</v>
      </c>
      <c r="B97" s="93" t="s">
        <v>169</v>
      </c>
      <c r="C97" s="174">
        <v>140</v>
      </c>
      <c r="D97" s="174">
        <v>107.90754</v>
      </c>
      <c r="E97" s="85">
        <f t="shared" si="2"/>
        <v>77.07681428571428</v>
      </c>
      <c r="F97" s="85">
        <f t="shared" si="3"/>
        <v>-32.09246</v>
      </c>
    </row>
    <row r="98" spans="1:6" ht="15.75">
      <c r="A98" s="79">
        <v>1003</v>
      </c>
      <c r="B98" s="93" t="s">
        <v>113</v>
      </c>
      <c r="C98" s="174">
        <v>15644.165</v>
      </c>
      <c r="D98" s="174">
        <v>10514.76549</v>
      </c>
      <c r="E98" s="85">
        <f t="shared" si="2"/>
        <v>67.21205951228461</v>
      </c>
      <c r="F98" s="85">
        <f t="shared" si="3"/>
        <v>-5129.399510000001</v>
      </c>
    </row>
    <row r="99" spans="1:6" ht="15" customHeight="1">
      <c r="A99" s="79">
        <v>1004</v>
      </c>
      <c r="B99" s="93" t="s">
        <v>114</v>
      </c>
      <c r="C99" s="174">
        <v>1584.3</v>
      </c>
      <c r="D99" s="178">
        <v>1003.47176</v>
      </c>
      <c r="E99" s="85">
        <f t="shared" si="2"/>
        <v>63.33849397210125</v>
      </c>
      <c r="F99" s="85">
        <f t="shared" si="3"/>
        <v>-580.8282399999999</v>
      </c>
    </row>
    <row r="100" spans="1:6" ht="15.75" hidden="1">
      <c r="A100" s="83" t="s">
        <v>115</v>
      </c>
      <c r="B100" s="84" t="s">
        <v>116</v>
      </c>
      <c r="C100" s="174">
        <v>0</v>
      </c>
      <c r="D100" s="174">
        <v>0</v>
      </c>
      <c r="E100" s="85"/>
      <c r="F100" s="85">
        <f t="shared" si="3"/>
        <v>0</v>
      </c>
    </row>
    <row r="101" spans="1:6" ht="15.75">
      <c r="A101" s="80" t="s">
        <v>117</v>
      </c>
      <c r="B101" s="153" t="s">
        <v>118</v>
      </c>
      <c r="C101" s="173">
        <f>C102+C103+C104+C105+C106</f>
        <v>5633.3</v>
      </c>
      <c r="D101" s="173">
        <f>D102+D103+D104+D105+D106</f>
        <v>4475.2675500000005</v>
      </c>
      <c r="E101" s="85">
        <f t="shared" si="2"/>
        <v>79.44308930822076</v>
      </c>
      <c r="F101" s="81">
        <f>F102+F103+F104+F105+F106</f>
        <v>-1158.03245</v>
      </c>
    </row>
    <row r="102" spans="1:6" ht="15.75">
      <c r="A102" s="83" t="s">
        <v>119</v>
      </c>
      <c r="B102" s="84" t="s">
        <v>275</v>
      </c>
      <c r="C102" s="174">
        <v>150</v>
      </c>
      <c r="D102" s="174">
        <v>136.363</v>
      </c>
      <c r="E102" s="85">
        <f t="shared" si="2"/>
        <v>90.90866666666668</v>
      </c>
      <c r="F102" s="85">
        <f aca="true" t="shared" si="4" ref="F102:F109">SUM(D102-C102)</f>
        <v>-13.637</v>
      </c>
    </row>
    <row r="103" spans="1:6" ht="15.75">
      <c r="A103" s="83" t="s">
        <v>121</v>
      </c>
      <c r="B103" s="84" t="s">
        <v>122</v>
      </c>
      <c r="C103" s="174">
        <v>5483.3</v>
      </c>
      <c r="D103" s="174">
        <v>4338.90455</v>
      </c>
      <c r="E103" s="85">
        <f t="shared" si="2"/>
        <v>79.12943938868929</v>
      </c>
      <c r="F103" s="85">
        <f t="shared" si="4"/>
        <v>-1144.39545</v>
      </c>
    </row>
    <row r="104" spans="1:6" ht="15.75" hidden="1">
      <c r="A104" s="83" t="s">
        <v>123</v>
      </c>
      <c r="B104" s="84" t="s">
        <v>124</v>
      </c>
      <c r="C104" s="174"/>
      <c r="D104" s="174"/>
      <c r="E104" s="85" t="e">
        <f t="shared" si="2"/>
        <v>#DIV/0!</v>
      </c>
      <c r="F104" s="85"/>
    </row>
    <row r="105" spans="1:6" ht="31.5" hidden="1">
      <c r="A105" s="83" t="s">
        <v>125</v>
      </c>
      <c r="B105" s="84" t="s">
        <v>126</v>
      </c>
      <c r="C105" s="174"/>
      <c r="D105" s="174"/>
      <c r="E105" s="85" t="e">
        <f t="shared" si="2"/>
        <v>#DIV/0!</v>
      </c>
      <c r="F105" s="85"/>
    </row>
    <row r="106" spans="1:6" ht="16.5" customHeight="1" hidden="1">
      <c r="A106" s="83" t="s">
        <v>127</v>
      </c>
      <c r="B106" s="84" t="s">
        <v>274</v>
      </c>
      <c r="C106" s="174"/>
      <c r="D106" s="174"/>
      <c r="E106" s="85" t="e">
        <f t="shared" si="2"/>
        <v>#DIV/0!</v>
      </c>
      <c r="F106" s="85"/>
    </row>
    <row r="107" spans="1:6" ht="15.75">
      <c r="A107" s="83" t="s">
        <v>129</v>
      </c>
      <c r="B107" s="153" t="s">
        <v>130</v>
      </c>
      <c r="C107" s="173">
        <f>C108</f>
        <v>100</v>
      </c>
      <c r="D107" s="164">
        <f>D108</f>
        <v>69.2065</v>
      </c>
      <c r="E107" s="85">
        <f t="shared" si="2"/>
        <v>69.2065</v>
      </c>
      <c r="F107" s="85">
        <f t="shared" si="4"/>
        <v>-30.793499999999995</v>
      </c>
    </row>
    <row r="108" spans="1:6" ht="15.75">
      <c r="A108" s="83" t="s">
        <v>131</v>
      </c>
      <c r="B108" s="84" t="s">
        <v>132</v>
      </c>
      <c r="C108" s="174">
        <v>100</v>
      </c>
      <c r="D108" s="174">
        <v>69.2065</v>
      </c>
      <c r="E108" s="85">
        <f t="shared" si="2"/>
        <v>69.2065</v>
      </c>
      <c r="F108" s="85">
        <f t="shared" si="4"/>
        <v>-30.793499999999995</v>
      </c>
    </row>
    <row r="109" spans="1:6" ht="31.5" hidden="1">
      <c r="A109" s="80" t="s">
        <v>133</v>
      </c>
      <c r="B109" s="154" t="s">
        <v>134</v>
      </c>
      <c r="C109" s="179">
        <f>C110</f>
        <v>0</v>
      </c>
      <c r="D109" s="179">
        <f>D110</f>
        <v>0</v>
      </c>
      <c r="E109" s="85" t="e">
        <f t="shared" si="2"/>
        <v>#DIV/0!</v>
      </c>
      <c r="F109" s="85">
        <f t="shared" si="4"/>
        <v>0</v>
      </c>
    </row>
    <row r="110" spans="1:6" ht="31.5" hidden="1">
      <c r="A110" s="83" t="s">
        <v>135</v>
      </c>
      <c r="B110" s="17" t="s">
        <v>136</v>
      </c>
      <c r="C110" s="175">
        <v>0</v>
      </c>
      <c r="D110" s="175">
        <v>0</v>
      </c>
      <c r="E110" s="85"/>
      <c r="F110" s="85"/>
    </row>
    <row r="111" spans="1:6" s="98" customFormat="1" ht="15.75">
      <c r="A111" s="91">
        <v>1400</v>
      </c>
      <c r="B111" s="92" t="s">
        <v>137</v>
      </c>
      <c r="C111" s="176">
        <f>C112+C113+C114</f>
        <v>34332.6</v>
      </c>
      <c r="D111" s="176">
        <f>SUM(D112:D114)</f>
        <v>28469.8</v>
      </c>
      <c r="E111" s="82">
        <f t="shared" si="2"/>
        <v>82.92351875476952</v>
      </c>
      <c r="F111" s="82">
        <f t="shared" si="3"/>
        <v>-5862.799999999999</v>
      </c>
    </row>
    <row r="112" spans="1:6" ht="15.75">
      <c r="A112" s="79">
        <v>1401</v>
      </c>
      <c r="B112" s="93" t="s">
        <v>299</v>
      </c>
      <c r="C112" s="177">
        <v>29666.5</v>
      </c>
      <c r="D112" s="174">
        <v>24192.7</v>
      </c>
      <c r="E112" s="85">
        <f t="shared" si="2"/>
        <v>81.54888510609611</v>
      </c>
      <c r="F112" s="85">
        <f t="shared" si="3"/>
        <v>-5473.799999999999</v>
      </c>
    </row>
    <row r="113" spans="1:6" ht="15" customHeight="1">
      <c r="A113" s="79">
        <v>1402</v>
      </c>
      <c r="B113" s="93" t="s">
        <v>301</v>
      </c>
      <c r="C113" s="177">
        <v>2806.1</v>
      </c>
      <c r="D113" s="174">
        <v>2417.1</v>
      </c>
      <c r="E113" s="85">
        <f t="shared" si="2"/>
        <v>86.1373436442037</v>
      </c>
      <c r="F113" s="85">
        <f t="shared" si="3"/>
        <v>-389</v>
      </c>
    </row>
    <row r="114" spans="1:6" ht="15.75">
      <c r="A114" s="79">
        <v>1403</v>
      </c>
      <c r="B114" s="93" t="s">
        <v>300</v>
      </c>
      <c r="C114" s="177">
        <v>1860</v>
      </c>
      <c r="D114" s="174">
        <v>1860</v>
      </c>
      <c r="E114" s="85"/>
      <c r="F114" s="85">
        <f t="shared" si="3"/>
        <v>0</v>
      </c>
    </row>
    <row r="115" spans="1:6" s="98" customFormat="1" ht="15.75">
      <c r="A115" s="91"/>
      <c r="B115" s="94" t="s">
        <v>139</v>
      </c>
      <c r="C115" s="164">
        <f>C58+C66+C68+C72+C77+C81+C83+C88+C90+C96+C101+C107+C109+C111</f>
        <v>409847.6096</v>
      </c>
      <c r="D115" s="176">
        <f>D58+D66+D68+D72+D77+D81+D83+D88+D90+D96+D101+D107+D109+D111</f>
        <v>281971.72530999995</v>
      </c>
      <c r="E115" s="82">
        <f t="shared" si="2"/>
        <v>68.79916308044265</v>
      </c>
      <c r="F115" s="82">
        <f t="shared" si="3"/>
        <v>-127875.88429000007</v>
      </c>
    </row>
    <row r="116" spans="3:4" ht="15.75">
      <c r="C116" s="200"/>
      <c r="D116" s="237"/>
    </row>
    <row r="117" spans="1:4" s="9" customFormat="1" ht="12.75">
      <c r="A117" s="66" t="s">
        <v>140</v>
      </c>
      <c r="B117" s="66"/>
      <c r="C117" s="201"/>
      <c r="D117" s="201"/>
    </row>
    <row r="118" spans="1:3" s="9" customFormat="1" ht="12.75">
      <c r="A118" s="67" t="s">
        <v>141</v>
      </c>
      <c r="B118" s="67"/>
      <c r="C118" s="9" t="s">
        <v>170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22">
      <selection activeCell="D42" sqref="D4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314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230.78298000000004</v>
      </c>
      <c r="E5" s="12">
        <f aca="true" t="shared" si="0" ref="E5:E35">D5/C5*100</f>
        <v>69.93423636363637</v>
      </c>
      <c r="F5" s="12">
        <f aca="true" t="shared" si="1" ref="F5:F36">D5-C5</f>
        <v>-99.21701999999996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96.60465</v>
      </c>
      <c r="E6" s="12">
        <f t="shared" si="0"/>
        <v>75.0036102484472</v>
      </c>
      <c r="F6" s="12">
        <f t="shared" si="1"/>
        <v>-32.195350000000005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96.60465</v>
      </c>
      <c r="E7" s="12">
        <f t="shared" si="0"/>
        <v>75.0036102484472</v>
      </c>
      <c r="F7" s="12">
        <f t="shared" si="1"/>
        <v>-32.195350000000005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0.5196</v>
      </c>
      <c r="E8" s="12">
        <f t="shared" si="0"/>
        <v>5.195999999999999</v>
      </c>
      <c r="F8" s="12">
        <f t="shared" si="1"/>
        <v>-9.4804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0.5196</v>
      </c>
      <c r="E9" s="12">
        <f t="shared" si="0"/>
        <v>5.195999999999999</v>
      </c>
      <c r="F9" s="12">
        <f t="shared" si="1"/>
        <v>-9.4804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131.75873</v>
      </c>
      <c r="E10" s="12">
        <f t="shared" si="0"/>
        <v>72.31543907793635</v>
      </c>
      <c r="F10" s="12">
        <f t="shared" si="1"/>
        <v>-50.441269999999975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127.63088</v>
      </c>
      <c r="E11" s="12">
        <f t="shared" si="0"/>
        <v>73.2668656716418</v>
      </c>
      <c r="F11" s="12">
        <f t="shared" si="1"/>
        <v>-46.569119999999984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4.12785</v>
      </c>
      <c r="E12" s="12">
        <f t="shared" si="0"/>
        <v>51.598124999999996</v>
      </c>
      <c r="F12" s="12">
        <f t="shared" si="1"/>
        <v>-3.8721500000000004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1.9</v>
      </c>
      <c r="E15" s="12">
        <f t="shared" si="0"/>
        <v>21.11111111111111</v>
      </c>
      <c r="F15" s="12">
        <f t="shared" si="1"/>
        <v>-7.1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1.9</v>
      </c>
      <c r="E17" s="12">
        <f t="shared" si="0"/>
        <v>21.11111111111111</v>
      </c>
      <c r="F17" s="12">
        <f t="shared" si="1"/>
        <v>-7.1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11.48921</v>
      </c>
      <c r="E20" s="12">
        <f t="shared" si="0"/>
        <v>19.80898275862069</v>
      </c>
      <c r="F20" s="12">
        <f t="shared" si="1"/>
        <v>-46.51079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9.42011</v>
      </c>
      <c r="E21" s="12">
        <f t="shared" si="0"/>
        <v>104.66788888888887</v>
      </c>
      <c r="F21" s="12">
        <f t="shared" si="1"/>
        <v>0.4201099999999993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4.2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3.5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5.75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5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4.2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4.2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2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6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242.27219000000002</v>
      </c>
      <c r="E38" s="12">
        <f aca="true" t="shared" si="2" ref="E38:E47">D38/C38*100</f>
        <v>62.441286082474235</v>
      </c>
      <c r="F38" s="12">
        <f aca="true" t="shared" si="3" ref="F38:F47">D38-C38</f>
        <v>-145.72780999999998</v>
      </c>
      <c r="G38" s="1"/>
    </row>
    <row r="39" spans="1:7" s="9" customFormat="1" ht="15.75">
      <c r="A39" s="10"/>
      <c r="B39" s="10" t="s">
        <v>39</v>
      </c>
      <c r="C39" s="11">
        <f>SUM(C40:C44)</f>
        <v>3580.4890000000005</v>
      </c>
      <c r="D39" s="11">
        <f>SUM(D40:D44)</f>
        <v>2755.7650000000003</v>
      </c>
      <c r="E39" s="12">
        <f t="shared" si="2"/>
        <v>76.96616300175758</v>
      </c>
      <c r="F39" s="12">
        <f t="shared" si="3"/>
        <v>-824.7240000000002</v>
      </c>
      <c r="G39" s="1"/>
    </row>
    <row r="40" spans="1:8" s="9" customFormat="1" ht="15.75">
      <c r="A40" s="13">
        <v>2020100000</v>
      </c>
      <c r="B40" s="13" t="s">
        <v>40</v>
      </c>
      <c r="C40" s="12">
        <v>881.5</v>
      </c>
      <c r="D40" s="12">
        <v>718.7</v>
      </c>
      <c r="E40" s="12">
        <f t="shared" si="2"/>
        <v>81.53148043108338</v>
      </c>
      <c r="F40" s="12">
        <f t="shared" si="3"/>
        <v>-162.79999999999995</v>
      </c>
      <c r="G40" s="1"/>
      <c r="H40" s="21"/>
    </row>
    <row r="41" spans="1:7" s="9" customFormat="1" ht="15.75">
      <c r="A41" s="13">
        <v>2020100310</v>
      </c>
      <c r="B41" s="13" t="s">
        <v>41</v>
      </c>
      <c r="C41" s="12">
        <v>718.2</v>
      </c>
      <c r="D41" s="12">
        <v>598.5</v>
      </c>
      <c r="E41" s="12">
        <f t="shared" si="2"/>
        <v>83.33333333333333</v>
      </c>
      <c r="F41" s="12">
        <f t="shared" si="3"/>
        <v>-119.70000000000005</v>
      </c>
      <c r="G41" s="1"/>
    </row>
    <row r="42" spans="1:7" s="9" customFormat="1" ht="15.75">
      <c r="A42" s="13">
        <v>2020200000</v>
      </c>
      <c r="B42" s="13" t="s">
        <v>42</v>
      </c>
      <c r="C42" s="12">
        <v>1926.15</v>
      </c>
      <c r="D42" s="12">
        <v>1383.94</v>
      </c>
      <c r="E42" s="12">
        <f t="shared" si="2"/>
        <v>71.8500635983698</v>
      </c>
      <c r="F42" s="12">
        <f t="shared" si="3"/>
        <v>-542.21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54.639</v>
      </c>
      <c r="D43" s="12">
        <v>54.625</v>
      </c>
      <c r="E43" s="12">
        <f t="shared" si="2"/>
        <v>99.97437727630447</v>
      </c>
      <c r="F43" s="12">
        <f t="shared" si="3"/>
        <v>-0.014000000000002899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/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3968.4890000000005</v>
      </c>
      <c r="D46" s="11">
        <f>SUM(D39,D38)</f>
        <v>2998.0371900000005</v>
      </c>
      <c r="E46" s="12">
        <f t="shared" si="2"/>
        <v>75.5460627457957</v>
      </c>
      <c r="F46" s="12">
        <f t="shared" si="3"/>
        <v>-970.45181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-341.32811000000083</v>
      </c>
      <c r="E47" s="12">
        <f t="shared" si="2"/>
        <v>-682.6562200000017</v>
      </c>
      <c r="F47" s="12">
        <f t="shared" si="3"/>
        <v>-391.32811000000083</v>
      </c>
      <c r="G47" s="23"/>
    </row>
    <row r="48" spans="1:7" s="9" customFormat="1" ht="15" customHeight="1">
      <c r="A48" s="24"/>
      <c r="B48" s="25"/>
      <c r="C48" s="26"/>
      <c r="D48" s="181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578.04775</v>
      </c>
      <c r="D52" s="39">
        <f>SUM(D53:D55)</f>
        <v>417.4106</v>
      </c>
      <c r="E52" s="12">
        <f>D52/C52*100</f>
        <v>72.21040130335254</v>
      </c>
      <c r="F52" s="12">
        <f>D52-C52</f>
        <v>-160.63714999999996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548.149</v>
      </c>
      <c r="D53" s="18">
        <v>391.1106</v>
      </c>
      <c r="E53" s="12">
        <f>D53/C53*100</f>
        <v>71.3511472245685</v>
      </c>
      <c r="F53" s="12">
        <f>D53-C53</f>
        <v>-157.03840000000002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27.4754</v>
      </c>
      <c r="E56" s="12">
        <f>D56/C56*100</f>
        <v>50.33046345484521</v>
      </c>
      <c r="F56" s="12">
        <f aca="true" t="shared" si="4" ref="F56:F103">D56-C56</f>
        <v>-27.114600000000003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27.4754</v>
      </c>
      <c r="E57" s="12">
        <f>D57/C57*100</f>
        <v>50.33046345484521</v>
      </c>
      <c r="F57" s="12">
        <f t="shared" si="4"/>
        <v>-27.114600000000003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51.40125</v>
      </c>
      <c r="D58" s="44">
        <f>D60+D61</f>
        <v>6.90125</v>
      </c>
      <c r="E58" s="12">
        <f>D58/C58*100</f>
        <v>13.426229906860243</v>
      </c>
      <c r="F58" s="12">
        <f t="shared" si="4"/>
        <v>-44.5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51.40125</v>
      </c>
      <c r="D60" s="49">
        <v>6.90125</v>
      </c>
      <c r="E60" s="12"/>
      <c r="F60" s="12">
        <f t="shared" si="4"/>
        <v>-44.5</v>
      </c>
      <c r="G60" s="45"/>
    </row>
    <row r="61" spans="1:7" s="46" customFormat="1" ht="16.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 t="shared" si="4"/>
        <v>0</v>
      </c>
      <c r="G61" s="45"/>
    </row>
    <row r="62" spans="1:7" s="9" customFormat="1" ht="17.25" customHeight="1" hidden="1">
      <c r="A62" s="37" t="s">
        <v>66</v>
      </c>
      <c r="B62" s="38" t="s">
        <v>67</v>
      </c>
      <c r="C62" s="39">
        <v>0</v>
      </c>
      <c r="D62" s="39"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>
        <v>0</v>
      </c>
      <c r="F64" s="12">
        <f t="shared" si="4"/>
        <v>0</v>
      </c>
      <c r="G64" s="31"/>
    </row>
    <row r="65" spans="1:7" s="9" customFormat="1" ht="17.25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485.8</v>
      </c>
      <c r="D66" s="39">
        <f>D68+D69</f>
        <v>377.61942</v>
      </c>
      <c r="E66" s="12">
        <f>D66/C66*100</f>
        <v>77.73145738987238</v>
      </c>
      <c r="F66" s="12">
        <f t="shared" si="4"/>
        <v>-108.18058000000002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485.8</v>
      </c>
      <c r="D69" s="18">
        <v>377.61942</v>
      </c>
      <c r="E69" s="12">
        <f>D69/C69*100</f>
        <v>77.73145738987238</v>
      </c>
      <c r="F69" s="12">
        <f t="shared" si="4"/>
        <v>-108.18058000000002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0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936.8</v>
      </c>
      <c r="D77" s="39">
        <f>SUM(D78:D78)</f>
        <v>544.64241</v>
      </c>
      <c r="E77" s="12">
        <f t="shared" si="5"/>
        <v>58.13860055508113</v>
      </c>
      <c r="F77" s="12">
        <f t="shared" si="4"/>
        <v>-392.1575899999999</v>
      </c>
      <c r="G77" s="31"/>
    </row>
    <row r="78" spans="1:7" s="9" customFormat="1" ht="15.75" customHeight="1">
      <c r="A78" s="40" t="s">
        <v>98</v>
      </c>
      <c r="B78" s="17" t="s">
        <v>99</v>
      </c>
      <c r="C78" s="18">
        <v>936.8</v>
      </c>
      <c r="D78" s="18">
        <v>544.64241</v>
      </c>
      <c r="E78" s="12">
        <f t="shared" si="5"/>
        <v>58.13860055508113</v>
      </c>
      <c r="F78" s="12">
        <f t="shared" si="4"/>
        <v>-392.1575899999999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1829.05</v>
      </c>
      <c r="D85" s="39">
        <f>SUM(D86:D88)</f>
        <v>1221.07</v>
      </c>
      <c r="E85" s="11">
        <f t="shared" si="5"/>
        <v>66.75979333533802</v>
      </c>
      <c r="F85" s="12">
        <f t="shared" si="4"/>
        <v>-607.98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1829.05</v>
      </c>
      <c r="D86" s="18">
        <v>1221.07</v>
      </c>
      <c r="E86" s="12">
        <f t="shared" si="5"/>
        <v>66.75979333533802</v>
      </c>
      <c r="F86" s="12">
        <f t="shared" si="4"/>
        <v>-607.98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8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8" customHeight="1">
      <c r="A89" s="61" t="s">
        <v>117</v>
      </c>
      <c r="B89" s="38" t="s">
        <v>118</v>
      </c>
      <c r="C89" s="39">
        <f>C90+C91+C92+C93+C94</f>
        <v>6</v>
      </c>
      <c r="D89" s="39">
        <f>D90+D91+D92+D93+D94</f>
        <v>3.99</v>
      </c>
      <c r="E89" s="11">
        <f>D89/C89*100</f>
        <v>66.5</v>
      </c>
      <c r="F89" s="12">
        <f t="shared" si="4"/>
        <v>-2.01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6</v>
      </c>
      <c r="D90" s="18">
        <v>3.99</v>
      </c>
      <c r="E90" s="11">
        <f aca="true" t="shared" si="6" ref="E90:E98">D90/C90*100</f>
        <v>66.5</v>
      </c>
      <c r="F90" s="12">
        <f>D90-C90</f>
        <v>-2.01</v>
      </c>
      <c r="G90" s="31"/>
    </row>
    <row r="91" spans="1:7" s="9" customFormat="1" ht="18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8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18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8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8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8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6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5.2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" customHeight="1">
      <c r="A99" s="63">
        <v>1400</v>
      </c>
      <c r="B99" s="58" t="s">
        <v>137</v>
      </c>
      <c r="C99" s="39">
        <f>C100</f>
        <v>76.8</v>
      </c>
      <c r="D99" s="39">
        <f>D100</f>
        <v>57.6</v>
      </c>
      <c r="E99" s="11"/>
      <c r="F99" s="12">
        <f t="shared" si="7"/>
        <v>-19.199999999999996</v>
      </c>
    </row>
    <row r="100" spans="1:6" s="9" customFormat="1" ht="15" customHeight="1">
      <c r="A100" s="59">
        <v>1403</v>
      </c>
      <c r="B100" s="60" t="s">
        <v>291</v>
      </c>
      <c r="C100" s="18">
        <v>76.8</v>
      </c>
      <c r="D100" s="18">
        <v>57.6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4018.4890000000005</v>
      </c>
      <c r="D103" s="39">
        <f>SUM(D52,D56,D58,D62,D66,D70,D72,D77,D79,D85,D89,D99)</f>
        <v>2656.7090799999996</v>
      </c>
      <c r="E103" s="12">
        <f t="shared" si="5"/>
        <v>66.11214016014475</v>
      </c>
      <c r="F103" s="12">
        <f t="shared" si="4"/>
        <v>-1361.7799200000009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315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1221.2</v>
      </c>
      <c r="D5" s="11">
        <f>SUM(D6,D8,D10,D13,D15)</f>
        <v>1149.03733</v>
      </c>
      <c r="E5" s="12">
        <f aca="true" t="shared" si="0" ref="E5:E35">D5/C5*100</f>
        <v>94.09083933835572</v>
      </c>
      <c r="F5" s="12">
        <f aca="true" t="shared" si="1" ref="F5:F36">D5-C5</f>
        <v>-72.16266999999993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839.6</v>
      </c>
      <c r="D6" s="11">
        <f>SUM(D7)</f>
        <v>775.05916</v>
      </c>
      <c r="E6" s="12">
        <f t="shared" si="0"/>
        <v>92.3129061457837</v>
      </c>
      <c r="F6" s="12">
        <f t="shared" si="1"/>
        <v>-64.54084</v>
      </c>
      <c r="G6" s="1"/>
    </row>
    <row r="7" spans="1:7" s="9" customFormat="1" ht="15.75">
      <c r="A7" s="13">
        <v>1010200001</v>
      </c>
      <c r="B7" s="14" t="s">
        <v>7</v>
      </c>
      <c r="C7" s="15">
        <v>839.6</v>
      </c>
      <c r="D7" s="15">
        <v>775.05916</v>
      </c>
      <c r="E7" s="12">
        <f t="shared" si="0"/>
        <v>92.3129061457837</v>
      </c>
      <c r="F7" s="12">
        <f t="shared" si="1"/>
        <v>-64.54084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18.47531</v>
      </c>
      <c r="E8" s="12">
        <f t="shared" si="0"/>
        <v>127.41593103448277</v>
      </c>
      <c r="F8" s="12">
        <f t="shared" si="1"/>
        <v>3.9753100000000003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18.47531</v>
      </c>
      <c r="E9" s="12">
        <f t="shared" si="0"/>
        <v>127.41593103448277</v>
      </c>
      <c r="F9" s="12">
        <f t="shared" si="1"/>
        <v>3.9753100000000003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324.40286000000003</v>
      </c>
      <c r="E10" s="12">
        <f t="shared" si="0"/>
        <v>96.95243873281531</v>
      </c>
      <c r="F10" s="12">
        <f t="shared" si="1"/>
        <v>-10.19713999999999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310.91356</v>
      </c>
      <c r="E11" s="12">
        <f t="shared" si="0"/>
        <v>103.7069913275517</v>
      </c>
      <c r="F11" s="12">
        <f t="shared" si="1"/>
        <v>11.113560000000007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13.4893</v>
      </c>
      <c r="E12" s="12">
        <f t="shared" si="0"/>
        <v>38.762356321839086</v>
      </c>
      <c r="F12" s="12">
        <f t="shared" si="1"/>
        <v>-21.310699999999997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31.1</v>
      </c>
      <c r="E15" s="12">
        <f t="shared" si="0"/>
        <v>95.6923076923077</v>
      </c>
      <c r="F15" s="12">
        <f t="shared" si="1"/>
        <v>-1.3999999999999986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32.5</v>
      </c>
      <c r="D17" s="12">
        <v>31.1</v>
      </c>
      <c r="E17" s="12">
        <f t="shared" si="0"/>
        <v>95.6923076923077</v>
      </c>
      <c r="F17" s="12">
        <f t="shared" si="1"/>
        <v>-1.3999999999999986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259</v>
      </c>
      <c r="D20" s="11">
        <f>SUM(D21:D36)</f>
        <v>304.59788000000003</v>
      </c>
      <c r="E20" s="12">
        <f t="shared" si="0"/>
        <v>117.6053590733591</v>
      </c>
      <c r="F20" s="12">
        <f t="shared" si="1"/>
        <v>45.59788000000003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171.71044</v>
      </c>
      <c r="E21" s="12">
        <f t="shared" si="0"/>
        <v>109.36970700636944</v>
      </c>
      <c r="F21" s="12">
        <f t="shared" si="1"/>
        <v>14.710440000000006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64.583</v>
      </c>
      <c r="E22" s="12"/>
      <c r="F22" s="12">
        <f t="shared" si="1"/>
        <v>64.583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55.30444</v>
      </c>
      <c r="E25" s="12">
        <f t="shared" si="0"/>
        <v>55.30444</v>
      </c>
      <c r="F25" s="12">
        <f t="shared" si="1"/>
        <v>-44.69556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8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9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8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28.5" customHeight="1">
      <c r="A35" s="13">
        <v>1169000000</v>
      </c>
      <c r="B35" s="14" t="s">
        <v>35</v>
      </c>
      <c r="C35" s="12"/>
      <c r="D35" s="12">
        <v>13</v>
      </c>
      <c r="E35" s="12" t="e">
        <f t="shared" si="0"/>
        <v>#DIV/0!</v>
      </c>
      <c r="F35" s="12">
        <f t="shared" si="1"/>
        <v>13</v>
      </c>
      <c r="G35" s="1"/>
    </row>
    <row r="36" spans="1:7" s="9" customFormat="1" ht="13.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1480.2</v>
      </c>
      <c r="D38" s="11">
        <f>SUM(D20,D5)</f>
        <v>1453.6352100000001</v>
      </c>
      <c r="E38" s="12">
        <f aca="true" t="shared" si="2" ref="E38:E46">D38/C38*100</f>
        <v>98.20532428050264</v>
      </c>
      <c r="F38" s="12">
        <f aca="true" t="shared" si="3" ref="F38:F47">D38-C38</f>
        <v>-26.564789999999903</v>
      </c>
      <c r="G38" s="1"/>
    </row>
    <row r="39" spans="1:7" s="9" customFormat="1" ht="15.75">
      <c r="A39" s="10"/>
      <c r="B39" s="10" t="s">
        <v>39</v>
      </c>
      <c r="C39" s="11">
        <f>SUM(C40:C44)</f>
        <v>4515.406</v>
      </c>
      <c r="D39" s="11">
        <f>SUM(D40:D44)</f>
        <v>3515.1130000000003</v>
      </c>
      <c r="E39" s="12">
        <f t="shared" si="2"/>
        <v>77.84710832204237</v>
      </c>
      <c r="F39" s="12">
        <f t="shared" si="3"/>
        <v>-1000.2929999999997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3124.8</v>
      </c>
      <c r="D40" s="12">
        <v>2545.85</v>
      </c>
      <c r="E40" s="12">
        <f t="shared" si="2"/>
        <v>81.472414234511</v>
      </c>
      <c r="F40" s="12">
        <f t="shared" si="3"/>
        <v>-578.9500000000003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1276.86</v>
      </c>
      <c r="D42" s="12">
        <v>855.566</v>
      </c>
      <c r="E42" s="12">
        <f t="shared" si="2"/>
        <v>67.0054665350939</v>
      </c>
      <c r="F42" s="12">
        <f t="shared" si="3"/>
        <v>-421.29399999999987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113.746</v>
      </c>
      <c r="D43" s="12">
        <v>113.697</v>
      </c>
      <c r="E43" s="12">
        <f t="shared" si="2"/>
        <v>99.95692156207691</v>
      </c>
      <c r="F43" s="12">
        <f t="shared" si="3"/>
        <v>-0.04899999999999238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5995.606</v>
      </c>
      <c r="D46" s="11">
        <f>SUM(D39,D38)</f>
        <v>4968.748210000001</v>
      </c>
      <c r="E46" s="12">
        <f t="shared" si="2"/>
        <v>82.8731609448653</v>
      </c>
      <c r="F46" s="12">
        <f t="shared" si="3"/>
        <v>-1026.857789999999</v>
      </c>
      <c r="G46" s="1"/>
    </row>
    <row r="47" spans="1:7" s="9" customFormat="1" ht="15.75">
      <c r="A47" s="10"/>
      <c r="B47" s="22" t="s">
        <v>47</v>
      </c>
      <c r="C47" s="11">
        <f>C103-C46</f>
        <v>622.9440000000004</v>
      </c>
      <c r="D47" s="11">
        <f>D103-D46</f>
        <v>-177.45007000000078</v>
      </c>
      <c r="E47" s="12"/>
      <c r="F47" s="12">
        <f t="shared" si="3"/>
        <v>-800.3940700000012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1155.85875</v>
      </c>
      <c r="D52" s="39">
        <f>SUM(D53:D55)</f>
        <v>942.50722</v>
      </c>
      <c r="E52" s="12">
        <f>D52/C52*100</f>
        <v>81.54172990428111</v>
      </c>
      <c r="F52" s="12">
        <f>D52-C52</f>
        <v>-213.35153000000014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1115.96</v>
      </c>
      <c r="D53" s="18">
        <v>916.20722</v>
      </c>
      <c r="E53" s="12">
        <f>D53/C53*100</f>
        <v>82.10036381232302</v>
      </c>
      <c r="F53" s="12">
        <f>D53-C53</f>
        <v>-199.75278000000003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88.0647</v>
      </c>
      <c r="E56" s="12">
        <f>D56/C56*100</f>
        <v>77.54222065686362</v>
      </c>
      <c r="F56" s="12">
        <f aca="true" t="shared" si="4" ref="F56:F89">D56-C56</f>
        <v>-25.50529999999999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88.0647</v>
      </c>
      <c r="E57" s="12">
        <f>D57/C57*100</f>
        <v>77.54222065686362</v>
      </c>
      <c r="F57" s="12">
        <f t="shared" si="4"/>
        <v>-25.50529999999999</v>
      </c>
    </row>
    <row r="58" spans="1:7" s="46" customFormat="1" ht="14.25" customHeight="1">
      <c r="A58" s="42" t="s">
        <v>60</v>
      </c>
      <c r="B58" s="43" t="s">
        <v>61</v>
      </c>
      <c r="C58" s="44">
        <f>C61+C60</f>
        <v>200.00125</v>
      </c>
      <c r="D58" s="44">
        <f>D61+D60</f>
        <v>141.9489</v>
      </c>
      <c r="E58" s="12">
        <f>D58/C58*100</f>
        <v>70.97400641245993</v>
      </c>
      <c r="F58" s="12">
        <f t="shared" si="4"/>
        <v>-58.05234999999999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4.25" customHeight="1">
      <c r="A60" s="47" t="s">
        <v>162</v>
      </c>
      <c r="B60" s="48" t="s">
        <v>272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198.6</v>
      </c>
      <c r="D61" s="49">
        <v>140.54765</v>
      </c>
      <c r="E61" s="12">
        <f aca="true" t="shared" si="5" ref="E61:E66">D61/C61*100</f>
        <v>70.76920946626385</v>
      </c>
      <c r="F61" s="12">
        <f t="shared" si="4"/>
        <v>-58.05234999999999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328.516</v>
      </c>
      <c r="D62" s="39">
        <f>D63+D64+D65</f>
        <v>258.418</v>
      </c>
      <c r="E62" s="12">
        <f t="shared" si="5"/>
        <v>78.66222649733955</v>
      </c>
      <c r="F62" s="12">
        <f t="shared" si="4"/>
        <v>-70.09800000000001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268.516</v>
      </c>
      <c r="D64" s="18">
        <v>248.543</v>
      </c>
      <c r="E64" s="12">
        <f t="shared" si="5"/>
        <v>92.5617095443102</v>
      </c>
      <c r="F64" s="12">
        <f t="shared" si="4"/>
        <v>-19.973000000000013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60</v>
      </c>
      <c r="D65" s="18">
        <v>9.875</v>
      </c>
      <c r="E65" s="12">
        <f t="shared" si="5"/>
        <v>16.458333333333332</v>
      </c>
      <c r="F65" s="12">
        <f t="shared" si="4"/>
        <v>-50.125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C67+C69</f>
        <v>1211.3</v>
      </c>
      <c r="D66" s="39">
        <f>D68+D69</f>
        <v>926.78604</v>
      </c>
      <c r="E66" s="12">
        <f t="shared" si="5"/>
        <v>76.51168496656486</v>
      </c>
      <c r="F66" s="12">
        <f t="shared" si="4"/>
        <v>-284.51396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/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1211.3</v>
      </c>
      <c r="D69" s="18">
        <v>926.78604</v>
      </c>
      <c r="E69" s="12">
        <f>D69/C69*100</f>
        <v>76.51168496656486</v>
      </c>
      <c r="F69" s="12">
        <f t="shared" si="4"/>
        <v>-284.51396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2198.9</v>
      </c>
      <c r="D77" s="39">
        <f>SUM(D78:D78)</f>
        <v>1533.12928</v>
      </c>
      <c r="E77" s="12">
        <f t="shared" si="6"/>
        <v>69.72255582336622</v>
      </c>
      <c r="F77" s="12">
        <f t="shared" si="4"/>
        <v>-665.77072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2198.9</v>
      </c>
      <c r="D78" s="18">
        <v>1533.12928</v>
      </c>
      <c r="E78" s="12">
        <f t="shared" si="6"/>
        <v>69.72255582336622</v>
      </c>
      <c r="F78" s="12">
        <f>D78-C78</f>
        <v>-665.77072</v>
      </c>
      <c r="G78" s="31"/>
    </row>
    <row r="79" spans="1:7" s="9" customFormat="1" ht="17.25" customHeight="1" hidden="1">
      <c r="A79" s="37" t="s">
        <v>100</v>
      </c>
      <c r="B79" s="38" t="s">
        <v>264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112</v>
      </c>
      <c r="C85" s="39">
        <f>SUM(C86:C88)</f>
        <v>925.56</v>
      </c>
      <c r="D85" s="39">
        <f>SUM(D86:D88)</f>
        <v>415.6</v>
      </c>
      <c r="E85" s="11">
        <f t="shared" si="6"/>
        <v>44.90254548597606</v>
      </c>
      <c r="F85" s="12">
        <f t="shared" si="4"/>
        <v>-509.9599999999999</v>
      </c>
      <c r="G85" s="31"/>
    </row>
    <row r="86" spans="1:7" s="9" customFormat="1" ht="16.5" customHeight="1">
      <c r="A86" s="59">
        <v>1003</v>
      </c>
      <c r="B86" s="60" t="s">
        <v>113</v>
      </c>
      <c r="C86" s="18">
        <v>925.56</v>
      </c>
      <c r="D86" s="18">
        <v>415.6</v>
      </c>
      <c r="E86" s="12">
        <f t="shared" si="6"/>
        <v>44.90254548597606</v>
      </c>
      <c r="F86" s="12">
        <f t="shared" si="4"/>
        <v>-509.9599999999999</v>
      </c>
      <c r="G86" s="31"/>
    </row>
    <row r="87" spans="1:7" s="9" customFormat="1" ht="15.7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19</v>
      </c>
      <c r="D89" s="39">
        <f>D90+D91+D92+D93+D94</f>
        <v>19</v>
      </c>
      <c r="E89" s="11">
        <f>D89/C89*100</f>
        <v>100</v>
      </c>
      <c r="F89" s="12">
        <f t="shared" si="4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19</v>
      </c>
      <c r="D90" s="18">
        <v>19</v>
      </c>
      <c r="E90" s="11">
        <f aca="true" t="shared" si="7" ref="E90:E103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465.844</v>
      </c>
      <c r="D99" s="39">
        <f>D100</f>
        <v>465.844</v>
      </c>
      <c r="E99" s="11">
        <f t="shared" si="7"/>
        <v>100</v>
      </c>
      <c r="F99" s="12">
        <f t="shared" si="8"/>
        <v>0</v>
      </c>
    </row>
    <row r="100" spans="1:6" s="9" customFormat="1" ht="15" customHeight="1">
      <c r="A100" s="59">
        <v>1403</v>
      </c>
      <c r="B100" s="60" t="s">
        <v>291</v>
      </c>
      <c r="C100" s="18">
        <v>465.844</v>
      </c>
      <c r="D100" s="18">
        <v>465.844</v>
      </c>
      <c r="E100" s="12">
        <f t="shared" si="7"/>
        <v>100</v>
      </c>
      <c r="F100" s="12">
        <f t="shared" si="8"/>
        <v>0</v>
      </c>
    </row>
    <row r="101" spans="1:6" s="9" customFormat="1" ht="0.75" customHeight="1" hidden="1">
      <c r="A101" s="64"/>
      <c r="B101" s="60" t="s">
        <v>44</v>
      </c>
      <c r="C101" s="18"/>
      <c r="D101" s="18">
        <v>9</v>
      </c>
      <c r="E101" s="11" t="e">
        <f t="shared" si="7"/>
        <v>#DIV/0!</v>
      </c>
      <c r="F101" s="12">
        <f t="shared" si="8"/>
        <v>9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139</v>
      </c>
      <c r="C103" s="39">
        <f>C52+C56+C58+C62+C66+C77+C85+C89+C99</f>
        <v>6618.55</v>
      </c>
      <c r="D103" s="39">
        <f>D52+D56+D58+D62+D66+D77+D85+D89+D99</f>
        <v>4791.29814</v>
      </c>
      <c r="E103" s="11">
        <f t="shared" si="7"/>
        <v>72.39196107908832</v>
      </c>
      <c r="F103" s="39">
        <f>F52+F56+F58+F62+F66+F77+F85+F89</f>
        <v>-1827.2518599999999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="50" zoomScaleSheetLayoutView="50" zoomScalePageLayoutView="0" workbookViewId="0" topLeftCell="A1">
      <selection activeCell="D104" sqref="D10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316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291.67472000000004</v>
      </c>
      <c r="E5" s="12">
        <f aca="true" t="shared" si="0" ref="E5:E35">D5/C5*100</f>
        <v>78.09229451137885</v>
      </c>
      <c r="F5" s="12">
        <f aca="true" t="shared" si="1" ref="F5:F36">D5-C5</f>
        <v>-81.82527999999996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122.22184</v>
      </c>
      <c r="E6" s="12">
        <f t="shared" si="0"/>
        <v>92.10387339864357</v>
      </c>
      <c r="F6" s="12">
        <f t="shared" si="1"/>
        <v>-10.478159999999988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122.22184</v>
      </c>
      <c r="E7" s="12">
        <f t="shared" si="0"/>
        <v>92.10387339864357</v>
      </c>
      <c r="F7" s="12">
        <f t="shared" si="1"/>
        <v>-10.478159999999988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0.4746</v>
      </c>
      <c r="E8" s="12">
        <f t="shared" si="0"/>
        <v>52.733333333333334</v>
      </c>
      <c r="F8" s="12">
        <f t="shared" si="1"/>
        <v>-0.4254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0.4746</v>
      </c>
      <c r="E9" s="12">
        <f t="shared" si="0"/>
        <v>52.733333333333334</v>
      </c>
      <c r="F9" s="12">
        <f t="shared" si="1"/>
        <v>-0.4254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144.03828000000001</v>
      </c>
      <c r="E10" s="12">
        <f t="shared" si="0"/>
        <v>65.80095020557333</v>
      </c>
      <c r="F10" s="12">
        <f t="shared" si="1"/>
        <v>-74.86171999999999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132.12941</v>
      </c>
      <c r="E11" s="12">
        <f t="shared" si="0"/>
        <v>68.07285419886657</v>
      </c>
      <c r="F11" s="12">
        <f t="shared" si="1"/>
        <v>-61.97058999999999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11.90887</v>
      </c>
      <c r="E12" s="12">
        <f t="shared" si="0"/>
        <v>48.01963709677419</v>
      </c>
      <c r="F12" s="12">
        <f t="shared" si="1"/>
        <v>-12.89113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24.94</v>
      </c>
      <c r="E15" s="12">
        <f t="shared" si="0"/>
        <v>118.76190476190476</v>
      </c>
      <c r="F15" s="12">
        <f t="shared" si="1"/>
        <v>3.9400000000000013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24.94</v>
      </c>
      <c r="E17" s="12">
        <f t="shared" si="0"/>
        <v>118.76190476190476</v>
      </c>
      <c r="F17" s="12">
        <f t="shared" si="1"/>
        <v>3.9400000000000013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139.7404</v>
      </c>
      <c r="E20" s="12">
        <f t="shared" si="0"/>
        <v>68.1660487804878</v>
      </c>
      <c r="F20" s="12">
        <f t="shared" si="1"/>
        <v>-65.2596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97.13487</v>
      </c>
      <c r="E21" s="12">
        <f t="shared" si="0"/>
        <v>86.7275625</v>
      </c>
      <c r="F21" s="12">
        <f t="shared" si="1"/>
        <v>-14.865129999999994</v>
      </c>
      <c r="G21" s="1"/>
    </row>
    <row r="22" spans="1:7" s="9" customFormat="1" ht="12.75" customHeight="1">
      <c r="A22" s="13">
        <v>1110503505</v>
      </c>
      <c r="B22" s="13" t="s">
        <v>22</v>
      </c>
      <c r="C22" s="12">
        <v>22</v>
      </c>
      <c r="D22" s="12">
        <v>21.0024</v>
      </c>
      <c r="E22" s="12">
        <f t="shared" si="0"/>
        <v>95.46545454545455</v>
      </c>
      <c r="F22" s="12">
        <f t="shared" si="1"/>
        <v>-0.9975999999999985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20.09313</v>
      </c>
      <c r="E25" s="12">
        <f t="shared" si="0"/>
        <v>28.704471428571427</v>
      </c>
      <c r="F25" s="12">
        <f t="shared" si="1"/>
        <v>-49.90687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15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6.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431.41512</v>
      </c>
      <c r="E38" s="12">
        <f aca="true" t="shared" si="2" ref="E38:E47">D38/C38*100</f>
        <v>74.574783059637</v>
      </c>
      <c r="F38" s="12">
        <f aca="true" t="shared" si="3" ref="F38:F48">D38-C38</f>
        <v>-147.08488</v>
      </c>
      <c r="G38" s="1"/>
    </row>
    <row r="39" spans="1:7" s="9" customFormat="1" ht="15.75">
      <c r="A39" s="10"/>
      <c r="B39" s="10" t="s">
        <v>39</v>
      </c>
      <c r="C39" s="11">
        <f>SUM(C40:C46)</f>
        <v>3829.57</v>
      </c>
      <c r="D39" s="11">
        <f>SUM(D40:D46)</f>
        <v>3245.382</v>
      </c>
      <c r="E39" s="12">
        <f t="shared" si="2"/>
        <v>84.74533694383443</v>
      </c>
      <c r="F39" s="12">
        <f t="shared" si="3"/>
        <v>-584.1880000000001</v>
      </c>
      <c r="G39" s="1"/>
    </row>
    <row r="40" spans="1:8" s="9" customFormat="1" ht="15.75">
      <c r="A40" s="13">
        <v>2020100000</v>
      </c>
      <c r="B40" s="13" t="s">
        <v>40</v>
      </c>
      <c r="C40" s="12">
        <v>2320.3</v>
      </c>
      <c r="D40" s="12">
        <v>1896.18</v>
      </c>
      <c r="E40" s="12">
        <f t="shared" si="2"/>
        <v>81.72132913847346</v>
      </c>
      <c r="F40" s="12">
        <f t="shared" si="3"/>
        <v>-424.1200000000001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554.5</v>
      </c>
      <c r="D41" s="12">
        <v>462.1</v>
      </c>
      <c r="E41" s="12">
        <f t="shared" si="2"/>
        <v>83.33633904418394</v>
      </c>
      <c r="F41" s="12">
        <f t="shared" si="3"/>
        <v>-92.39999999999998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153.464</v>
      </c>
      <c r="E42" s="12">
        <f t="shared" si="2"/>
        <v>69.4093170511081</v>
      </c>
      <c r="F42" s="12">
        <f t="shared" si="3"/>
        <v>-67.636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113.67</v>
      </c>
      <c r="D43" s="12">
        <v>113.638</v>
      </c>
      <c r="E43" s="12">
        <f t="shared" si="2"/>
        <v>99.97184833289346</v>
      </c>
      <c r="F43" s="12">
        <f t="shared" si="3"/>
        <v>-0.031999999999996476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7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31.5">
      <c r="A46" s="13">
        <v>2020900000</v>
      </c>
      <c r="B46" s="14" t="s">
        <v>309</v>
      </c>
      <c r="C46" s="12">
        <v>620</v>
      </c>
      <c r="D46" s="12">
        <v>620</v>
      </c>
      <c r="E46" s="12">
        <f t="shared" si="2"/>
        <v>100</v>
      </c>
      <c r="F46" s="12">
        <f t="shared" si="3"/>
        <v>0</v>
      </c>
      <c r="G46" s="1"/>
    </row>
    <row r="47" spans="1:7" s="9" customFormat="1" ht="15.75">
      <c r="A47" s="10"/>
      <c r="B47" s="10" t="s">
        <v>46</v>
      </c>
      <c r="C47" s="11">
        <f>SUM(C39,C38)</f>
        <v>4408.07</v>
      </c>
      <c r="D47" s="11">
        <f>SUM(D39,D38)</f>
        <v>3676.79712</v>
      </c>
      <c r="E47" s="12">
        <f t="shared" si="2"/>
        <v>83.41058830735447</v>
      </c>
      <c r="F47" s="12">
        <f t="shared" si="3"/>
        <v>-731.2728799999995</v>
      </c>
      <c r="G47" s="1"/>
    </row>
    <row r="48" spans="1:7" s="9" customFormat="1" ht="15.75">
      <c r="A48" s="10"/>
      <c r="B48" s="22" t="s">
        <v>47</v>
      </c>
      <c r="C48" s="11">
        <f>C104-C47</f>
        <v>0</v>
      </c>
      <c r="D48" s="11">
        <f>D104-D47</f>
        <v>-513.8002500000002</v>
      </c>
      <c r="E48" s="12"/>
      <c r="F48" s="12">
        <f t="shared" si="3"/>
        <v>-513.8002500000002</v>
      </c>
      <c r="G48" s="23"/>
    </row>
    <row r="49" spans="1:7" s="9" customFormat="1" ht="15" customHeight="1">
      <c r="A49" s="24"/>
      <c r="B49" s="25"/>
      <c r="C49" s="26"/>
      <c r="D49" s="26"/>
      <c r="E49" s="27"/>
      <c r="F49" s="27"/>
      <c r="G49" s="23"/>
    </row>
    <row r="50" spans="1:7" s="9" customFormat="1" ht="15.75">
      <c r="A50" s="28"/>
      <c r="B50" s="29"/>
      <c r="C50" s="30"/>
      <c r="D50" s="30"/>
      <c r="E50" s="30"/>
      <c r="F50" s="30"/>
      <c r="G50" s="31"/>
    </row>
    <row r="51" spans="1:7" s="9" customFormat="1" ht="63">
      <c r="A51" s="32" t="s">
        <v>0</v>
      </c>
      <c r="B51" s="32" t="s">
        <v>48</v>
      </c>
      <c r="C51" s="33" t="s">
        <v>2</v>
      </c>
      <c r="D51" s="6" t="s">
        <v>313</v>
      </c>
      <c r="E51" s="33" t="s">
        <v>3</v>
      </c>
      <c r="F51" s="34" t="s">
        <v>4</v>
      </c>
      <c r="G51" s="31"/>
    </row>
    <row r="52" spans="1:7" s="9" customFormat="1" ht="15.75">
      <c r="A52" s="35">
        <v>1</v>
      </c>
      <c r="B52" s="36">
        <v>2</v>
      </c>
      <c r="C52" s="35">
        <v>3</v>
      </c>
      <c r="D52" s="36">
        <v>4</v>
      </c>
      <c r="E52" s="35">
        <v>5</v>
      </c>
      <c r="F52" s="36">
        <v>6</v>
      </c>
      <c r="G52" s="31"/>
    </row>
    <row r="53" spans="1:7" s="9" customFormat="1" ht="15.75">
      <c r="A53" s="37" t="s">
        <v>49</v>
      </c>
      <c r="B53" s="38" t="s">
        <v>50</v>
      </c>
      <c r="C53" s="39">
        <f>SUM(C54:C56)</f>
        <v>895.6099999999999</v>
      </c>
      <c r="D53" s="39">
        <f>SUM(D54:D56)</f>
        <v>657.95606</v>
      </c>
      <c r="E53" s="12">
        <f>D53/C53*100</f>
        <v>73.46457274929936</v>
      </c>
      <c r="F53" s="12">
        <f>D53-C53</f>
        <v>-237.65393999999992</v>
      </c>
      <c r="G53" s="31"/>
    </row>
    <row r="54" spans="1:7" s="9" customFormat="1" ht="14.25" customHeight="1">
      <c r="A54" s="40" t="s">
        <v>51</v>
      </c>
      <c r="B54" s="17" t="s">
        <v>52</v>
      </c>
      <c r="C54" s="18">
        <v>859.31</v>
      </c>
      <c r="D54" s="18">
        <v>631.65606</v>
      </c>
      <c r="E54" s="12">
        <f>D54/C54*100</f>
        <v>73.50735590182822</v>
      </c>
      <c r="F54" s="12">
        <f>D54-C54</f>
        <v>-227.65393999999992</v>
      </c>
      <c r="G54" s="31"/>
    </row>
    <row r="55" spans="1:7" s="9" customFormat="1" ht="15.75">
      <c r="A55" s="40" t="s">
        <v>53</v>
      </c>
      <c r="B55" s="17" t="s">
        <v>54</v>
      </c>
      <c r="C55" s="18">
        <v>26.3</v>
      </c>
      <c r="D55" s="18">
        <v>26.3</v>
      </c>
      <c r="E55" s="12"/>
      <c r="F55" s="12"/>
      <c r="G55" s="31"/>
    </row>
    <row r="56" spans="1:7" s="9" customFormat="1" ht="15.75">
      <c r="A56" s="40" t="s">
        <v>161</v>
      </c>
      <c r="B56" s="17" t="s">
        <v>55</v>
      </c>
      <c r="C56" s="18">
        <v>10</v>
      </c>
      <c r="D56" s="18">
        <v>0</v>
      </c>
      <c r="E56" s="12"/>
      <c r="F56" s="12"/>
      <c r="G56" s="31"/>
    </row>
    <row r="57" spans="1:7" s="9" customFormat="1" ht="15.75">
      <c r="A57" s="37" t="s">
        <v>56</v>
      </c>
      <c r="B57" s="38" t="s">
        <v>57</v>
      </c>
      <c r="C57" s="39">
        <f>C58</f>
        <v>113.56</v>
      </c>
      <c r="D57" s="39">
        <f>D58</f>
        <v>69.89301</v>
      </c>
      <c r="E57" s="12">
        <f>D57/C57*100</f>
        <v>61.547208524128216</v>
      </c>
      <c r="F57" s="12">
        <f aca="true" t="shared" si="4" ref="F57:F104">D57-C57</f>
        <v>-43.66699</v>
      </c>
      <c r="G57" s="31"/>
    </row>
    <row r="58" spans="1:6" s="9" customFormat="1" ht="15.75">
      <c r="A58" s="41" t="s">
        <v>58</v>
      </c>
      <c r="B58" s="17" t="s">
        <v>59</v>
      </c>
      <c r="C58" s="18">
        <v>113.56</v>
      </c>
      <c r="D58" s="18">
        <v>69.89301</v>
      </c>
      <c r="E58" s="12">
        <f>D58/C58*100</f>
        <v>61.547208524128216</v>
      </c>
      <c r="F58" s="12">
        <f t="shared" si="4"/>
        <v>-43.66699</v>
      </c>
    </row>
    <row r="59" spans="1:7" s="46" customFormat="1" ht="14.25" customHeight="1">
      <c r="A59" s="42" t="s">
        <v>60</v>
      </c>
      <c r="B59" s="43" t="s">
        <v>61</v>
      </c>
      <c r="C59" s="44">
        <f>C60+C61+C62</f>
        <v>12.488</v>
      </c>
      <c r="D59" s="44">
        <f>D60+D61+D62</f>
        <v>12.488</v>
      </c>
      <c r="E59" s="12">
        <f>D59/C59*100</f>
        <v>100</v>
      </c>
      <c r="F59" s="12">
        <f t="shared" si="4"/>
        <v>0</v>
      </c>
      <c r="G59" s="45"/>
    </row>
    <row r="60" spans="1:7" s="46" customFormat="1" ht="15.75" hidden="1">
      <c r="A60" s="47" t="s">
        <v>62</v>
      </c>
      <c r="B60" s="48" t="s">
        <v>63</v>
      </c>
      <c r="C60" s="49">
        <v>0</v>
      </c>
      <c r="D60" s="49"/>
      <c r="E60" s="12"/>
      <c r="F60" s="12">
        <f t="shared" si="4"/>
        <v>0</v>
      </c>
      <c r="G60" s="45"/>
    </row>
    <row r="61" spans="1:7" s="46" customFormat="1" ht="31.5">
      <c r="A61" s="47" t="s">
        <v>162</v>
      </c>
      <c r="B61" s="48" t="s">
        <v>272</v>
      </c>
      <c r="C61" s="49">
        <v>12.488</v>
      </c>
      <c r="D61" s="49">
        <v>12.488</v>
      </c>
      <c r="E61" s="12"/>
      <c r="F61" s="12">
        <f t="shared" si="4"/>
        <v>0</v>
      </c>
      <c r="G61" s="45"/>
    </row>
    <row r="62" spans="1:7" s="46" customFormat="1" ht="17.25" customHeight="1" hidden="1">
      <c r="A62" s="47" t="s">
        <v>64</v>
      </c>
      <c r="B62" s="48" t="s">
        <v>65</v>
      </c>
      <c r="C62" s="49">
        <v>0</v>
      </c>
      <c r="D62" s="49">
        <v>0</v>
      </c>
      <c r="E62" s="12"/>
      <c r="F62" s="12">
        <f t="shared" si="4"/>
        <v>0</v>
      </c>
      <c r="G62" s="45"/>
    </row>
    <row r="63" spans="1:7" s="9" customFormat="1" ht="16.5" customHeight="1">
      <c r="A63" s="37" t="s">
        <v>66</v>
      </c>
      <c r="B63" s="38" t="s">
        <v>67</v>
      </c>
      <c r="C63" s="39">
        <f>C64+C65+C66</f>
        <v>14.45938</v>
      </c>
      <c r="D63" s="39">
        <f>D64+D65+D66</f>
        <v>14.45938</v>
      </c>
      <c r="E63" s="12">
        <f>D63/C63*100</f>
        <v>100</v>
      </c>
      <c r="F63" s="12">
        <f t="shared" si="4"/>
        <v>0</v>
      </c>
      <c r="G63" s="31"/>
    </row>
    <row r="64" spans="1:7" s="9" customFormat="1" ht="17.25" customHeight="1" hidden="1">
      <c r="A64" s="40" t="s">
        <v>68</v>
      </c>
      <c r="B64" s="17" t="s">
        <v>69</v>
      </c>
      <c r="C64" s="18"/>
      <c r="D64" s="18"/>
      <c r="E64" s="12"/>
      <c r="F64" s="12">
        <f t="shared" si="4"/>
        <v>0</v>
      </c>
      <c r="G64" s="31"/>
    </row>
    <row r="65" spans="1:7" s="9" customFormat="1" ht="3.75" customHeight="1" hidden="1">
      <c r="A65" s="40" t="s">
        <v>70</v>
      </c>
      <c r="B65" s="50" t="s">
        <v>71</v>
      </c>
      <c r="C65" s="18">
        <v>0</v>
      </c>
      <c r="D65" s="18">
        <v>0</v>
      </c>
      <c r="E65" s="12" t="e">
        <f>D65/C65*100</f>
        <v>#DIV/0!</v>
      </c>
      <c r="F65" s="12">
        <f t="shared" si="4"/>
        <v>0</v>
      </c>
      <c r="G65" s="31"/>
    </row>
    <row r="66" spans="1:7" s="9" customFormat="1" ht="15" customHeight="1">
      <c r="A66" s="47" t="s">
        <v>72</v>
      </c>
      <c r="B66" s="48" t="s">
        <v>73</v>
      </c>
      <c r="C66" s="18">
        <v>14.45938</v>
      </c>
      <c r="D66" s="18">
        <v>14.45938</v>
      </c>
      <c r="E66" s="12">
        <f>D66/C66*100</f>
        <v>100</v>
      </c>
      <c r="F66" s="12">
        <f t="shared" si="4"/>
        <v>0</v>
      </c>
      <c r="G66" s="31"/>
    </row>
    <row r="67" spans="1:7" s="9" customFormat="1" ht="17.25" customHeight="1">
      <c r="A67" s="37" t="s">
        <v>74</v>
      </c>
      <c r="B67" s="38" t="s">
        <v>75</v>
      </c>
      <c r="C67" s="39">
        <f>C69+C70</f>
        <v>739.37062</v>
      </c>
      <c r="D67" s="39">
        <f>D69+D70</f>
        <v>523.77201</v>
      </c>
      <c r="E67" s="12">
        <f>D67/C67*100</f>
        <v>70.84025194292951</v>
      </c>
      <c r="F67" s="12">
        <f t="shared" si="4"/>
        <v>-215.59861</v>
      </c>
      <c r="G67" s="31"/>
    </row>
    <row r="68" spans="1:7" s="9" customFormat="1" ht="17.25" customHeight="1" hidden="1">
      <c r="A68" s="40" t="s">
        <v>76</v>
      </c>
      <c r="B68" s="17" t="s">
        <v>77</v>
      </c>
      <c r="C68" s="18"/>
      <c r="D68" s="18"/>
      <c r="E68" s="12"/>
      <c r="F68" s="12">
        <f t="shared" si="4"/>
        <v>0</v>
      </c>
      <c r="G68" s="31"/>
    </row>
    <row r="69" spans="1:7" s="52" customFormat="1" ht="17.25" customHeight="1" hidden="1">
      <c r="A69" s="40" t="s">
        <v>78</v>
      </c>
      <c r="B69" s="51" t="s">
        <v>79</v>
      </c>
      <c r="C69" s="18">
        <v>0</v>
      </c>
      <c r="D69" s="18">
        <v>0</v>
      </c>
      <c r="E69" s="12"/>
      <c r="F69" s="12">
        <f t="shared" si="4"/>
        <v>0</v>
      </c>
      <c r="G69" s="31"/>
    </row>
    <row r="70" spans="1:7" s="9" customFormat="1" ht="16.5" customHeight="1">
      <c r="A70" s="41" t="s">
        <v>80</v>
      </c>
      <c r="B70" s="17" t="s">
        <v>81</v>
      </c>
      <c r="C70" s="18">
        <v>739.37062</v>
      </c>
      <c r="D70" s="18">
        <v>523.77201</v>
      </c>
      <c r="E70" s="12">
        <f>D70/C70*100</f>
        <v>70.84025194292951</v>
      </c>
      <c r="F70" s="12">
        <f t="shared" si="4"/>
        <v>-215.59861</v>
      </c>
      <c r="G70" s="53"/>
    </row>
    <row r="71" spans="1:7" s="52" customFormat="1" ht="17.25" customHeight="1" hidden="1">
      <c r="A71" s="37" t="s">
        <v>82</v>
      </c>
      <c r="B71" s="54" t="s">
        <v>83</v>
      </c>
      <c r="C71" s="39">
        <f>SUM(C72)</f>
        <v>0</v>
      </c>
      <c r="D71" s="39">
        <f>SUM(D72)</f>
        <v>0</v>
      </c>
      <c r="E71" s="12"/>
      <c r="F71" s="12">
        <f t="shared" si="4"/>
        <v>0</v>
      </c>
      <c r="G71" s="31"/>
    </row>
    <row r="72" spans="1:7" s="9" customFormat="1" ht="17.25" customHeight="1" hidden="1">
      <c r="A72" s="40" t="s">
        <v>84</v>
      </c>
      <c r="B72" s="50" t="s">
        <v>85</v>
      </c>
      <c r="C72" s="18"/>
      <c r="D72" s="18"/>
      <c r="E72" s="12"/>
      <c r="F72" s="12">
        <f t="shared" si="4"/>
        <v>0</v>
      </c>
      <c r="G72" s="53"/>
    </row>
    <row r="73" spans="1:7" s="9" customFormat="1" ht="17.25" customHeight="1" hidden="1">
      <c r="A73" s="37" t="s">
        <v>86</v>
      </c>
      <c r="B73" s="54" t="s">
        <v>87</v>
      </c>
      <c r="C73" s="39">
        <f>SUM(C74:C77)</f>
        <v>0</v>
      </c>
      <c r="D73" s="39">
        <f>SUM(D74:D77)</f>
        <v>0</v>
      </c>
      <c r="E73" s="12"/>
      <c r="F73" s="12">
        <f t="shared" si="4"/>
        <v>0</v>
      </c>
      <c r="G73" s="31"/>
    </row>
    <row r="74" spans="1:7" s="9" customFormat="1" ht="17.25" customHeight="1" hidden="1">
      <c r="A74" s="40" t="s">
        <v>88</v>
      </c>
      <c r="B74" s="50" t="s">
        <v>89</v>
      </c>
      <c r="C74" s="18"/>
      <c r="D74" s="18"/>
      <c r="E74" s="12" t="e">
        <f aca="true" t="shared" si="5" ref="E74:E104">D74/C74*100</f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90</v>
      </c>
      <c r="B75" s="50" t="s">
        <v>91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92</v>
      </c>
      <c r="B76" s="50" t="s">
        <v>93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7.25" customHeight="1" hidden="1">
      <c r="A77" s="40" t="s">
        <v>94</v>
      </c>
      <c r="B77" s="50" t="s">
        <v>95</v>
      </c>
      <c r="C77" s="18"/>
      <c r="D77" s="18"/>
      <c r="E77" s="12" t="e">
        <f t="shared" si="5"/>
        <v>#DIV/0!</v>
      </c>
      <c r="F77" s="12">
        <f t="shared" si="4"/>
        <v>0</v>
      </c>
      <c r="G77" s="31"/>
    </row>
    <row r="78" spans="1:7" s="9" customFormat="1" ht="20.25" customHeight="1">
      <c r="A78" s="37" t="s">
        <v>96</v>
      </c>
      <c r="B78" s="38" t="s">
        <v>97</v>
      </c>
      <c r="C78" s="39">
        <f>C79</f>
        <v>2620.582</v>
      </c>
      <c r="D78" s="39">
        <f>SUM(D79:D79)</f>
        <v>1875.65541</v>
      </c>
      <c r="E78" s="12">
        <f t="shared" si="5"/>
        <v>71.57400188202469</v>
      </c>
      <c r="F78" s="12">
        <f t="shared" si="4"/>
        <v>-744.9265899999998</v>
      </c>
      <c r="G78" s="31"/>
    </row>
    <row r="79" spans="1:7" s="9" customFormat="1" ht="17.25" customHeight="1">
      <c r="A79" s="40" t="s">
        <v>98</v>
      </c>
      <c r="B79" s="17" t="s">
        <v>99</v>
      </c>
      <c r="C79" s="18">
        <v>2620.582</v>
      </c>
      <c r="D79" s="18">
        <v>1875.65541</v>
      </c>
      <c r="E79" s="12">
        <f t="shared" si="5"/>
        <v>71.57400188202469</v>
      </c>
      <c r="F79" s="12">
        <f t="shared" si="4"/>
        <v>-744.9265899999998</v>
      </c>
      <c r="G79" s="31"/>
    </row>
    <row r="80" spans="1:7" s="9" customFormat="1" ht="17.25" customHeight="1" hidden="1">
      <c r="A80" s="37" t="s">
        <v>100</v>
      </c>
      <c r="B80" s="38" t="s">
        <v>101</v>
      </c>
      <c r="C80" s="39">
        <f>SUM(C81:C85)</f>
        <v>0</v>
      </c>
      <c r="D80" s="39">
        <f>SUM(D81:D85)</f>
        <v>0</v>
      </c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102</v>
      </c>
      <c r="B81" s="17" t="s">
        <v>103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0" t="s">
        <v>104</v>
      </c>
      <c r="B82" s="17" t="s">
        <v>105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9" customFormat="1" ht="17.25" customHeight="1" hidden="1">
      <c r="A83" s="41" t="s">
        <v>106</v>
      </c>
      <c r="B83" s="17" t="s">
        <v>107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52" customFormat="1" ht="17.25" customHeight="1" hidden="1">
      <c r="A84" s="55" t="s">
        <v>108</v>
      </c>
      <c r="B84" s="56" t="s">
        <v>109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41" t="s">
        <v>110</v>
      </c>
      <c r="B85" s="17" t="s">
        <v>111</v>
      </c>
      <c r="C85" s="18"/>
      <c r="D85" s="18"/>
      <c r="E85" s="12" t="e">
        <f t="shared" si="5"/>
        <v>#DIV/0!</v>
      </c>
      <c r="F85" s="12">
        <f t="shared" si="4"/>
        <v>0</v>
      </c>
      <c r="G85" s="31"/>
    </row>
    <row r="86" spans="1:7" s="9" customFormat="1" ht="15" customHeight="1" hidden="1">
      <c r="A86" s="57">
        <v>1000</v>
      </c>
      <c r="B86" s="58" t="s">
        <v>112</v>
      </c>
      <c r="C86" s="39">
        <f>SUM(C87:C89)</f>
        <v>0</v>
      </c>
      <c r="D86" s="39">
        <f>SUM(D87:D89)</f>
        <v>0</v>
      </c>
      <c r="E86" s="11"/>
      <c r="F86" s="12">
        <f t="shared" si="4"/>
        <v>0</v>
      </c>
      <c r="G86" s="31"/>
    </row>
    <row r="87" spans="1:7" s="9" customFormat="1" ht="14.25" customHeight="1" hidden="1">
      <c r="A87" s="59">
        <v>1003</v>
      </c>
      <c r="B87" s="60" t="s">
        <v>113</v>
      </c>
      <c r="C87" s="18">
        <v>0</v>
      </c>
      <c r="D87" s="18">
        <v>0</v>
      </c>
      <c r="E87" s="12"/>
      <c r="F87" s="12">
        <f t="shared" si="4"/>
        <v>0</v>
      </c>
      <c r="G87" s="31"/>
    </row>
    <row r="88" spans="1:7" s="9" customFormat="1" ht="15" customHeight="1" hidden="1">
      <c r="A88" s="59">
        <v>1004</v>
      </c>
      <c r="B88" s="60" t="s">
        <v>114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 hidden="1">
      <c r="A89" s="41" t="s">
        <v>115</v>
      </c>
      <c r="B89" s="17" t="s">
        <v>116</v>
      </c>
      <c r="C89" s="18"/>
      <c r="D89" s="18"/>
      <c r="E89" s="12"/>
      <c r="F89" s="12">
        <f t="shared" si="4"/>
        <v>0</v>
      </c>
      <c r="G89" s="31"/>
    </row>
    <row r="90" spans="1:7" s="9" customFormat="1" ht="15.75" customHeight="1">
      <c r="A90" s="61" t="s">
        <v>117</v>
      </c>
      <c r="B90" s="38" t="s">
        <v>118</v>
      </c>
      <c r="C90" s="39">
        <f>C91+C92+C93+C94+C95</f>
        <v>12</v>
      </c>
      <c r="D90" s="39">
        <f>D91+D92+D93+D94+D95</f>
        <v>8.773</v>
      </c>
      <c r="E90" s="11">
        <f>D90/C90*100</f>
        <v>73.10833333333333</v>
      </c>
      <c r="F90" s="12">
        <f t="shared" si="4"/>
        <v>-3.2270000000000003</v>
      </c>
      <c r="G90" s="31"/>
    </row>
    <row r="91" spans="1:7" s="9" customFormat="1" ht="15.75" customHeight="1">
      <c r="A91" s="41" t="s">
        <v>119</v>
      </c>
      <c r="B91" s="62" t="s">
        <v>120</v>
      </c>
      <c r="C91" s="18">
        <v>12</v>
      </c>
      <c r="D91" s="18">
        <v>8.773</v>
      </c>
      <c r="E91" s="11">
        <f aca="true" t="shared" si="6" ref="E91:E99">D91/C91*100</f>
        <v>73.10833333333333</v>
      </c>
      <c r="F91" s="12">
        <f>D91-C91</f>
        <v>-3.2270000000000003</v>
      </c>
      <c r="G91" s="31"/>
    </row>
    <row r="92" spans="1:7" s="9" customFormat="1" ht="0.75" customHeight="1">
      <c r="A92" s="41" t="s">
        <v>121</v>
      </c>
      <c r="B92" s="17" t="s">
        <v>122</v>
      </c>
      <c r="C92" s="18"/>
      <c r="D92" s="18"/>
      <c r="E92" s="12" t="e">
        <f t="shared" si="6"/>
        <v>#DIV/0!</v>
      </c>
      <c r="F92" s="12">
        <f aca="true" t="shared" si="7" ref="F92:F103">D92-C92</f>
        <v>0</v>
      </c>
      <c r="G92" s="31"/>
    </row>
    <row r="93" spans="1:7" s="9" customFormat="1" ht="15.75" customHeight="1" hidden="1">
      <c r="A93" s="41" t="s">
        <v>123</v>
      </c>
      <c r="B93" s="17" t="s">
        <v>124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31.5" customHeight="1" hidden="1">
      <c r="A94" s="41" t="s">
        <v>125</v>
      </c>
      <c r="B94" s="17" t="s">
        <v>126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41" t="s">
        <v>127</v>
      </c>
      <c r="B95" s="17" t="s">
        <v>128</v>
      </c>
      <c r="C95" s="18"/>
      <c r="D95" s="18"/>
      <c r="E95" s="12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37" t="s">
        <v>129</v>
      </c>
      <c r="B96" s="38" t="s">
        <v>130</v>
      </c>
      <c r="C96" s="39"/>
      <c r="D96" s="39"/>
      <c r="E96" s="11" t="e">
        <f t="shared" si="6"/>
        <v>#DIV/0!</v>
      </c>
      <c r="F96" s="12">
        <f t="shared" si="7"/>
        <v>0</v>
      </c>
      <c r="G96" s="31"/>
    </row>
    <row r="97" spans="1:7" s="9" customFormat="1" ht="24.75" customHeight="1" hidden="1">
      <c r="A97" s="40" t="s">
        <v>131</v>
      </c>
      <c r="B97" s="17" t="s">
        <v>132</v>
      </c>
      <c r="C97" s="18"/>
      <c r="D97" s="18"/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37" t="s">
        <v>133</v>
      </c>
      <c r="B98" s="38" t="s">
        <v>134</v>
      </c>
      <c r="C98" s="39">
        <f>C99</f>
        <v>5</v>
      </c>
      <c r="D98" s="39">
        <f>D99</f>
        <v>0</v>
      </c>
      <c r="E98" s="11">
        <f t="shared" si="6"/>
        <v>0</v>
      </c>
      <c r="F98" s="12">
        <f t="shared" si="7"/>
        <v>-5</v>
      </c>
      <c r="G98" s="31"/>
    </row>
    <row r="99" spans="1:7" s="9" customFormat="1" ht="31.5" customHeight="1" hidden="1">
      <c r="A99" s="40" t="s">
        <v>135</v>
      </c>
      <c r="B99" s="17" t="s">
        <v>136</v>
      </c>
      <c r="C99" s="18">
        <v>5</v>
      </c>
      <c r="D99" s="18">
        <v>0</v>
      </c>
      <c r="E99" s="12">
        <f t="shared" si="6"/>
        <v>0</v>
      </c>
      <c r="F99" s="12">
        <f t="shared" si="7"/>
        <v>-5</v>
      </c>
      <c r="G99" s="31"/>
    </row>
    <row r="100" spans="1:6" s="9" customFormat="1" ht="15.75" customHeight="1" hidden="1">
      <c r="A100" s="63">
        <v>1400</v>
      </c>
      <c r="B100" s="58" t="s">
        <v>137</v>
      </c>
      <c r="C100" s="39">
        <f>C101</f>
        <v>0</v>
      </c>
      <c r="D100" s="39">
        <f>SUM(D102:D103)</f>
        <v>0</v>
      </c>
      <c r="E100" s="11"/>
      <c r="F100" s="12">
        <f t="shared" si="7"/>
        <v>0</v>
      </c>
    </row>
    <row r="101" spans="1:6" s="9" customFormat="1" ht="15.75" customHeight="1" hidden="1">
      <c r="A101" s="59">
        <v>1403</v>
      </c>
      <c r="B101" s="60" t="s">
        <v>291</v>
      </c>
      <c r="C101" s="39"/>
      <c r="D101" s="39"/>
      <c r="E101" s="11"/>
      <c r="F101" s="12"/>
    </row>
    <row r="102" spans="1:6" s="9" customFormat="1" ht="15.75" customHeight="1" hidden="1">
      <c r="A102" s="64">
        <v>1104</v>
      </c>
      <c r="B102" s="60" t="s">
        <v>44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 hidden="1">
      <c r="A103" s="64">
        <v>1102</v>
      </c>
      <c r="B103" s="60" t="s">
        <v>138</v>
      </c>
      <c r="C103" s="18"/>
      <c r="D103" s="18"/>
      <c r="E103" s="12" t="e">
        <f t="shared" si="5"/>
        <v>#DIV/0!</v>
      </c>
      <c r="F103" s="12">
        <f t="shared" si="7"/>
        <v>0</v>
      </c>
    </row>
    <row r="104" spans="1:6" s="9" customFormat="1" ht="15.75" customHeight="1">
      <c r="A104" s="64"/>
      <c r="B104" s="65" t="s">
        <v>139</v>
      </c>
      <c r="C104" s="39">
        <f>C53+C57+C59+C63+C67+C78+C90+C100</f>
        <v>4408.07</v>
      </c>
      <c r="D104" s="39">
        <f>SUM(D53,D57,D59,D63,D67,D71,D73,D78,D80,D86,D90,D100)</f>
        <v>3162.99687</v>
      </c>
      <c r="E104" s="12">
        <f t="shared" si="5"/>
        <v>71.75468787927596</v>
      </c>
      <c r="F104" s="12">
        <f t="shared" si="4"/>
        <v>-1245.0731299999998</v>
      </c>
    </row>
    <row r="105" spans="1:6" s="9" customFormat="1" ht="15.75">
      <c r="A105" s="28"/>
      <c r="B105" s="29"/>
      <c r="C105" s="31"/>
      <c r="D105" s="31"/>
      <c r="E105" s="31"/>
      <c r="F105" s="31"/>
    </row>
    <row r="106" spans="1:2" s="9" customFormat="1" ht="12.75">
      <c r="A106" s="66" t="s">
        <v>140</v>
      </c>
      <c r="B106" s="66"/>
    </row>
    <row r="107" spans="1:3" s="9" customFormat="1" ht="12.75">
      <c r="A107" s="67" t="s">
        <v>141</v>
      </c>
      <c r="B107" s="67"/>
      <c r="C107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55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317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1033.34907</v>
      </c>
      <c r="E5" s="12">
        <f aca="true" t="shared" si="0" ref="E5:E35">D5/C5*100</f>
        <v>82.78713908027561</v>
      </c>
      <c r="F5" s="12">
        <f aca="true" t="shared" si="1" ref="F5:F36">D5-C5</f>
        <v>-214.85092999999983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669.54653</v>
      </c>
      <c r="E6" s="12">
        <f t="shared" si="0"/>
        <v>78.83510302602143</v>
      </c>
      <c r="F6" s="12">
        <f t="shared" si="1"/>
        <v>-179.75347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669.54653</v>
      </c>
      <c r="E7" s="12">
        <f t="shared" si="0"/>
        <v>78.83510302602143</v>
      </c>
      <c r="F7" s="12">
        <f t="shared" si="1"/>
        <v>-179.75347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15.40787</v>
      </c>
      <c r="E8" s="12">
        <f t="shared" si="0"/>
        <v>51.359566666666666</v>
      </c>
      <c r="F8" s="12">
        <f t="shared" si="1"/>
        <v>-14.59213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15.40787</v>
      </c>
      <c r="E9" s="12">
        <f t="shared" si="0"/>
        <v>51.359566666666666</v>
      </c>
      <c r="F9" s="12">
        <f t="shared" si="1"/>
        <v>-14.59213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340.59467</v>
      </c>
      <c r="E10" s="12">
        <f t="shared" si="0"/>
        <v>95.19135550586921</v>
      </c>
      <c r="F10" s="12">
        <f t="shared" si="1"/>
        <v>-17.205329999999947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325.17393</v>
      </c>
      <c r="E11" s="12">
        <f t="shared" si="0"/>
        <v>103.26260082565895</v>
      </c>
      <c r="F11" s="12">
        <f t="shared" si="1"/>
        <v>10.273930000000007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15.42074</v>
      </c>
      <c r="E12" s="12">
        <f t="shared" si="0"/>
        <v>35.945780885780884</v>
      </c>
      <c r="F12" s="12">
        <f t="shared" si="1"/>
        <v>-27.479259999999996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7.8</v>
      </c>
      <c r="E15" s="12">
        <f t="shared" si="0"/>
        <v>70.27027027027027</v>
      </c>
      <c r="F15" s="12">
        <f t="shared" si="1"/>
        <v>-3.3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7.8</v>
      </c>
      <c r="E17" s="12">
        <f t="shared" si="0"/>
        <v>70.27027027027027</v>
      </c>
      <c r="F17" s="12">
        <f t="shared" si="1"/>
        <v>-3.3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342</v>
      </c>
      <c r="D20" s="11">
        <f>SUM(D21:D36)</f>
        <v>1259.03641</v>
      </c>
      <c r="E20" s="12">
        <f t="shared" si="0"/>
        <v>368.1393011695906</v>
      </c>
      <c r="F20" s="12">
        <f t="shared" si="1"/>
        <v>917.0364099999999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251.26969</v>
      </c>
      <c r="E21" s="12">
        <f t="shared" si="0"/>
        <v>93.06284814814815</v>
      </c>
      <c r="F21" s="12">
        <f t="shared" si="1"/>
        <v>-18.730310000000003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996.19762</v>
      </c>
      <c r="E25" s="12">
        <f t="shared" si="0"/>
        <v>1423.1394571428573</v>
      </c>
      <c r="F25" s="12">
        <f t="shared" si="1"/>
        <v>926.19762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2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9.5</v>
      </c>
      <c r="E36" s="12"/>
      <c r="F36" s="12">
        <f t="shared" si="1"/>
        <v>9.5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1590.1999999999998</v>
      </c>
      <c r="D38" s="11">
        <f>SUM(D20,D5)</f>
        <v>2292.38548</v>
      </c>
      <c r="E38" s="12">
        <f aca="true" t="shared" si="2" ref="E38:E47">D38/C38*100</f>
        <v>144.1570544585587</v>
      </c>
      <c r="F38" s="12">
        <f aca="true" t="shared" si="3" ref="F38:F47">D38-C38</f>
        <v>702.1854800000001</v>
      </c>
      <c r="G38" s="1"/>
    </row>
    <row r="39" spans="1:7" s="9" customFormat="1" ht="15.75">
      <c r="A39" s="10"/>
      <c r="B39" s="10" t="s">
        <v>39</v>
      </c>
      <c r="C39" s="11">
        <f>SUM(C40:C44)</f>
        <v>5383.503000000001</v>
      </c>
      <c r="D39" s="11">
        <f>SUM(D40:D44)</f>
        <v>4769.974</v>
      </c>
      <c r="E39" s="12">
        <f t="shared" si="2"/>
        <v>88.60353565327259</v>
      </c>
      <c r="F39" s="12">
        <f t="shared" si="3"/>
        <v>-613.5290000000005</v>
      </c>
      <c r="G39" s="1"/>
    </row>
    <row r="40" spans="1:8" s="9" customFormat="1" ht="15.75">
      <c r="A40" s="13">
        <v>2020100000</v>
      </c>
      <c r="B40" s="13" t="s">
        <v>40</v>
      </c>
      <c r="C40" s="12">
        <v>2150.8</v>
      </c>
      <c r="D40" s="12">
        <v>1746.51</v>
      </c>
      <c r="E40" s="12">
        <f t="shared" si="2"/>
        <v>81.20280825739259</v>
      </c>
      <c r="F40" s="12">
        <f t="shared" si="3"/>
        <v>-404.2900000000002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284.2</v>
      </c>
      <c r="D42" s="12">
        <v>75</v>
      </c>
      <c r="E42" s="12">
        <f t="shared" si="2"/>
        <v>26.389866291344127</v>
      </c>
      <c r="F42" s="12">
        <f t="shared" si="3"/>
        <v>-209.2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2948.503</v>
      </c>
      <c r="D43" s="12">
        <v>2948.464</v>
      </c>
      <c r="E43" s="12">
        <f t="shared" si="2"/>
        <v>99.99867729488489</v>
      </c>
      <c r="F43" s="12">
        <f t="shared" si="3"/>
        <v>-0.03900000000021464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6973.703</v>
      </c>
      <c r="D46" s="11">
        <f>SUM(D39,D38)</f>
        <v>7062.35948</v>
      </c>
      <c r="E46" s="12">
        <f t="shared" si="2"/>
        <v>101.27129704261853</v>
      </c>
      <c r="F46" s="12">
        <f t="shared" si="3"/>
        <v>88.65647999999965</v>
      </c>
      <c r="G46" s="1"/>
    </row>
    <row r="47" spans="1:7" s="9" customFormat="1" ht="15.75">
      <c r="A47" s="10"/>
      <c r="B47" s="22" t="s">
        <v>47</v>
      </c>
      <c r="C47" s="11">
        <f>C103-C46</f>
        <v>545</v>
      </c>
      <c r="D47" s="11">
        <f>D103-D46</f>
        <v>-4008.71444</v>
      </c>
      <c r="E47" s="12">
        <f t="shared" si="2"/>
        <v>-735.5439339449542</v>
      </c>
      <c r="F47" s="12">
        <f t="shared" si="3"/>
        <v>-4553.71444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798.8417499999999</v>
      </c>
      <c r="D52" s="39">
        <f>SUM(D53:D55)</f>
        <v>592.88906</v>
      </c>
      <c r="E52" s="12">
        <f>D52/C52*100</f>
        <v>74.21858709813301</v>
      </c>
      <c r="F52" s="12">
        <f>D52-C52</f>
        <v>-205.95268999999996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763.943</v>
      </c>
      <c r="D53" s="18">
        <v>566.58906</v>
      </c>
      <c r="E53" s="12">
        <f>D53/C53*100</f>
        <v>74.16640508519615</v>
      </c>
      <c r="F53" s="12">
        <f>D53-C53</f>
        <v>-197.35393999999997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71.38417</v>
      </c>
      <c r="E56" s="12">
        <f>D56/C56*100</f>
        <v>62.86031172948221</v>
      </c>
      <c r="F56" s="12">
        <f aca="true" t="shared" si="4" ref="F56:F103">D56-C56</f>
        <v>-42.175830000000005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71.38417</v>
      </c>
      <c r="E57" s="12">
        <f>D57/C57*100</f>
        <v>62.86031172948221</v>
      </c>
      <c r="F57" s="12">
        <f t="shared" si="4"/>
        <v>-42.175830000000005</v>
      </c>
    </row>
    <row r="58" spans="1:7" s="46" customFormat="1" ht="13.5" customHeight="1">
      <c r="A58" s="42" t="s">
        <v>60</v>
      </c>
      <c r="B58" s="43" t="s">
        <v>61</v>
      </c>
      <c r="C58" s="44">
        <f>C60+C61</f>
        <v>26.30125</v>
      </c>
      <c r="D58" s="44">
        <f>D60+D61</f>
        <v>0</v>
      </c>
      <c r="E58" s="12">
        <f>D58/C58*100</f>
        <v>0</v>
      </c>
      <c r="F58" s="12">
        <f t="shared" si="4"/>
        <v>-26.30125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272</v>
      </c>
      <c r="C60" s="49">
        <v>1.40125</v>
      </c>
      <c r="D60" s="49">
        <v>0</v>
      </c>
      <c r="E60" s="12"/>
      <c r="F60" s="12">
        <f t="shared" si="4"/>
        <v>-1.40125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70</v>
      </c>
      <c r="D62" s="39">
        <f>D63+D64+D65</f>
        <v>65.111</v>
      </c>
      <c r="E62" s="12">
        <f t="shared" si="5"/>
        <v>93.0157142857143</v>
      </c>
      <c r="F62" s="12">
        <f t="shared" si="4"/>
        <v>-4.888999999999996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70</v>
      </c>
      <c r="D64" s="18">
        <v>65.111</v>
      </c>
      <c r="E64" s="12">
        <f t="shared" si="5"/>
        <v>93.0157142857143</v>
      </c>
      <c r="F64" s="12">
        <f t="shared" si="4"/>
        <v>-4.888999999999996</v>
      </c>
      <c r="G64" s="31"/>
    </row>
    <row r="65" spans="1:7" s="9" customFormat="1" ht="6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C67+C68+C69</f>
        <v>3978.1000000000004</v>
      </c>
      <c r="D66" s="39">
        <f>D67+D68+D69</f>
        <v>645.61387</v>
      </c>
      <c r="E66" s="12">
        <f t="shared" si="5"/>
        <v>16.22920162891833</v>
      </c>
      <c r="F66" s="12">
        <f t="shared" si="4"/>
        <v>-3332.4861300000002</v>
      </c>
      <c r="G66" s="31"/>
    </row>
    <row r="67" spans="1:7" s="9" customFormat="1" ht="15" customHeight="1">
      <c r="A67" s="40" t="s">
        <v>76</v>
      </c>
      <c r="B67" s="17" t="s">
        <v>77</v>
      </c>
      <c r="C67" s="18">
        <v>2834.8</v>
      </c>
      <c r="D67" s="18">
        <v>0</v>
      </c>
      <c r="E67" s="12"/>
      <c r="F67" s="12">
        <f t="shared" si="4"/>
        <v>-2834.8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1143.3</v>
      </c>
      <c r="D69" s="18">
        <v>645.61387</v>
      </c>
      <c r="E69" s="12">
        <f>D69/C69*100</f>
        <v>56.46933175894341</v>
      </c>
      <c r="F69" s="12">
        <f t="shared" si="4"/>
        <v>-497.68612999999993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2291.6</v>
      </c>
      <c r="D77" s="39">
        <f>SUM(D78:D78)</f>
        <v>1507.12194</v>
      </c>
      <c r="E77" s="12">
        <f t="shared" si="6"/>
        <v>65.76723424681445</v>
      </c>
      <c r="F77" s="12">
        <f t="shared" si="4"/>
        <v>-784.4780599999999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2291.6</v>
      </c>
      <c r="D78" s="18">
        <v>1507.12194</v>
      </c>
      <c r="E78" s="12">
        <f t="shared" si="6"/>
        <v>65.76723424681445</v>
      </c>
      <c r="F78" s="12">
        <f t="shared" si="4"/>
        <v>-784.4780599999999</v>
      </c>
      <c r="G78" s="31"/>
    </row>
    <row r="79" spans="1:7" s="9" customFormat="1" ht="17.25" customHeight="1" hidden="1">
      <c r="A79" s="37" t="s">
        <v>100</v>
      </c>
      <c r="B79" s="38" t="s">
        <v>263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15.6</v>
      </c>
      <c r="D89" s="39">
        <f>D90+D91+D92+D93+D94</f>
        <v>3</v>
      </c>
      <c r="E89" s="11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15.6</v>
      </c>
      <c r="D90" s="18">
        <v>3</v>
      </c>
      <c r="E90" s="11">
        <f aca="true" t="shared" si="7" ref="E90:E98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224.7</v>
      </c>
      <c r="D99" s="39">
        <f>D100</f>
        <v>168.525</v>
      </c>
      <c r="E99" s="11"/>
      <c r="F99" s="12">
        <f t="shared" si="8"/>
        <v>-56.17499999999998</v>
      </c>
    </row>
    <row r="100" spans="1:6" s="9" customFormat="1" ht="15.75" customHeight="1">
      <c r="A100" s="59">
        <v>1403</v>
      </c>
      <c r="B100" s="60" t="s">
        <v>291</v>
      </c>
      <c r="C100" s="18">
        <v>224.7</v>
      </c>
      <c r="D100" s="18">
        <v>168.525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7518.703</v>
      </c>
      <c r="D103" s="39">
        <f>D52+D56+D58+D62+D66+D77+D85+D89+D99</f>
        <v>3053.64504</v>
      </c>
      <c r="E103" s="12">
        <f t="shared" si="6"/>
        <v>40.61398674744833</v>
      </c>
      <c r="F103" s="12">
        <f t="shared" si="4"/>
        <v>-4465.05796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20">
      <selection activeCell="B49" sqref="B4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281" t="s">
        <v>318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3668.20376</v>
      </c>
      <c r="E5" s="12">
        <f aca="true" t="shared" si="0" ref="E5:E35">D5/C5*100</f>
        <v>70.90234575537343</v>
      </c>
      <c r="F5" s="12">
        <f aca="true" t="shared" si="1" ref="F5:F36">D5-C5</f>
        <v>-1505.3962400000005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3100.47819</v>
      </c>
      <c r="E6" s="12">
        <f t="shared" si="0"/>
        <v>70.22441598151796</v>
      </c>
      <c r="F6" s="12">
        <f t="shared" si="1"/>
        <v>-1314.6218100000006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3100.47819</v>
      </c>
      <c r="E7" s="12">
        <f t="shared" si="0"/>
        <v>70.22441598151796</v>
      </c>
      <c r="F7" s="12">
        <f t="shared" si="1"/>
        <v>-1314.6218100000006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38.36814</v>
      </c>
      <c r="E8" s="12">
        <f t="shared" si="0"/>
        <v>383.68139999999994</v>
      </c>
      <c r="F8" s="12">
        <f t="shared" si="1"/>
        <v>28.368139999999997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38.36814</v>
      </c>
      <c r="E9" s="12">
        <f t="shared" si="0"/>
        <v>383.68139999999994</v>
      </c>
      <c r="F9" s="12">
        <f t="shared" si="1"/>
        <v>28.368139999999997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529.35743</v>
      </c>
      <c r="E10" s="12">
        <f t="shared" si="0"/>
        <v>70.72243553774216</v>
      </c>
      <c r="F10" s="12">
        <f t="shared" si="1"/>
        <v>-219.14256999999998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505.32056</v>
      </c>
      <c r="E11" s="12">
        <f t="shared" si="0"/>
        <v>70.75336880425651</v>
      </c>
      <c r="F11" s="12">
        <f t="shared" si="1"/>
        <v>-208.87944000000005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24.03687</v>
      </c>
      <c r="E12" s="12">
        <f t="shared" si="0"/>
        <v>70.07833819241984</v>
      </c>
      <c r="F12" s="12">
        <f t="shared" si="1"/>
        <v>-10.263129999999997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141.97393</v>
      </c>
      <c r="E20" s="12">
        <f t="shared" si="0"/>
        <v>52.388904059040584</v>
      </c>
      <c r="F20" s="12">
        <f t="shared" si="1"/>
        <v>-129.02607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138.67468</v>
      </c>
      <c r="E21" s="12">
        <f t="shared" si="0"/>
        <v>63.321771689497716</v>
      </c>
      <c r="F21" s="12">
        <f t="shared" si="1"/>
        <v>-80.32532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3.29925</v>
      </c>
      <c r="E25" s="12">
        <f t="shared" si="0"/>
        <v>6.5985000000000005</v>
      </c>
      <c r="F25" s="12">
        <f t="shared" si="1"/>
        <v>-46.70075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3810.17769</v>
      </c>
      <c r="E38" s="12">
        <f aca="true" t="shared" si="2" ref="E38:E46">D38/C38*100</f>
        <v>69.98085607758145</v>
      </c>
      <c r="F38" s="12">
        <f aca="true" t="shared" si="3" ref="F38:F47">D38-C38</f>
        <v>-1634.4223100000004</v>
      </c>
      <c r="G38" s="1"/>
    </row>
    <row r="39" spans="1:7" s="9" customFormat="1" ht="15.75">
      <c r="A39" s="10"/>
      <c r="B39" s="10" t="s">
        <v>39</v>
      </c>
      <c r="C39" s="11">
        <f>SUM(C40:C44)</f>
        <v>3760.819</v>
      </c>
      <c r="D39" s="11">
        <f>SUM(D40:D44)</f>
        <v>3197.473</v>
      </c>
      <c r="E39" s="12">
        <f t="shared" si="2"/>
        <v>85.0206564048948</v>
      </c>
      <c r="F39" s="12">
        <f t="shared" si="3"/>
        <v>-563.346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3760.619</v>
      </c>
      <c r="D42" s="12">
        <v>3197.329</v>
      </c>
      <c r="E42" s="12">
        <f t="shared" si="2"/>
        <v>85.02134887900104</v>
      </c>
      <c r="F42" s="12">
        <f t="shared" si="3"/>
        <v>-563.29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0.144</v>
      </c>
      <c r="E43" s="12">
        <f t="shared" si="2"/>
        <v>71.99999999999999</v>
      </c>
      <c r="F43" s="12">
        <f t="shared" si="3"/>
        <v>-0.05600000000000002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9205.419</v>
      </c>
      <c r="D46" s="11">
        <f>SUM(D39,D38)</f>
        <v>7007.65069</v>
      </c>
      <c r="E46" s="12">
        <f t="shared" si="2"/>
        <v>76.1252767527475</v>
      </c>
      <c r="F46" s="12">
        <f t="shared" si="3"/>
        <v>-2197.7683099999995</v>
      </c>
      <c r="G46" s="1"/>
    </row>
    <row r="47" spans="1:7" s="9" customFormat="1" ht="15.75">
      <c r="A47" s="10"/>
      <c r="B47" s="22" t="s">
        <v>47</v>
      </c>
      <c r="C47" s="11">
        <f>C103-C46</f>
        <v>999.1900000000005</v>
      </c>
      <c r="D47" s="11">
        <f>D103-D46</f>
        <v>-1391.1935400000002</v>
      </c>
      <c r="E47" s="12"/>
      <c r="F47" s="12">
        <f t="shared" si="3"/>
        <v>-2390.3835400000007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1004.1</v>
      </c>
      <c r="D52" s="39">
        <f>SUM(D53:D55)</f>
        <v>707.17324</v>
      </c>
      <c r="E52" s="12">
        <f>D52/C52*100</f>
        <v>70.42856687580917</v>
      </c>
      <c r="F52" s="12">
        <f>D52-C52</f>
        <v>-296.92676000000006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994.1</v>
      </c>
      <c r="D53" s="18">
        <v>707.17324</v>
      </c>
      <c r="E53" s="12">
        <f>D53/C53*100</f>
        <v>71.13703249170104</v>
      </c>
      <c r="F53" s="12">
        <f>D53-C53</f>
        <v>-286.92676000000006</v>
      </c>
      <c r="G53" s="31"/>
    </row>
    <row r="54" spans="1:7" s="9" customFormat="1" ht="0.75" customHeight="1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4.25" customHeight="1">
      <c r="A55" s="40" t="s">
        <v>161</v>
      </c>
      <c r="B55" s="17" t="s">
        <v>55</v>
      </c>
      <c r="C55" s="18">
        <v>10</v>
      </c>
      <c r="D55" s="18">
        <v>0</v>
      </c>
      <c r="E55" s="12"/>
      <c r="F55" s="12"/>
      <c r="G55" s="31"/>
    </row>
    <row r="56" spans="1:7" s="9" customFormat="1" ht="16.5" customHeight="1" hidden="1">
      <c r="A56" s="37" t="s">
        <v>56</v>
      </c>
      <c r="B56" s="38" t="s">
        <v>57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4.25" customHeight="1" hidden="1">
      <c r="A57" s="41" t="s">
        <v>58</v>
      </c>
      <c r="B57" s="17" t="s">
        <v>59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3.5" customHeight="1" hidden="1">
      <c r="A58" s="42" t="s">
        <v>60</v>
      </c>
      <c r="B58" s="43" t="s">
        <v>61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3.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3.5" customHeight="1" hidden="1">
      <c r="A60" s="47" t="s">
        <v>162</v>
      </c>
      <c r="B60" s="48" t="s">
        <v>272</v>
      </c>
      <c r="C60" s="49"/>
      <c r="D60" s="49"/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860.12</v>
      </c>
      <c r="D62" s="39">
        <f>D63+D64+D65</f>
        <v>0</v>
      </c>
      <c r="E62" s="12"/>
      <c r="F62" s="12">
        <f t="shared" si="4"/>
        <v>-860.12</v>
      </c>
      <c r="G62" s="31"/>
    </row>
    <row r="63" spans="1:7" s="9" customFormat="1" ht="12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852.12</v>
      </c>
      <c r="D64" s="18">
        <v>0</v>
      </c>
      <c r="E64" s="12"/>
      <c r="F64" s="12">
        <f t="shared" si="4"/>
        <v>-852.12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1471.28</v>
      </c>
      <c r="D66" s="39">
        <f>D68+D69</f>
        <v>1167.31565</v>
      </c>
      <c r="E66" s="12">
        <f>D66/C66*100</f>
        <v>79.34014259692242</v>
      </c>
      <c r="F66" s="12">
        <f t="shared" si="4"/>
        <v>-303.96434999999997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18.78</v>
      </c>
      <c r="D68" s="18">
        <v>5.7</v>
      </c>
      <c r="E68" s="12"/>
      <c r="F68" s="12">
        <f t="shared" si="4"/>
        <v>-13.080000000000002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1452.5</v>
      </c>
      <c r="D69" s="18">
        <v>1161.61565</v>
      </c>
      <c r="E69" s="12">
        <f>D69/C69*100</f>
        <v>79.9735387263339</v>
      </c>
      <c r="F69" s="12">
        <f t="shared" si="4"/>
        <v>-290.88435000000004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195.2</v>
      </c>
      <c r="D77" s="39">
        <f>SUM(D78:D78)</f>
        <v>117.43826</v>
      </c>
      <c r="E77" s="12">
        <f t="shared" si="5"/>
        <v>60.16304303278689</v>
      </c>
      <c r="F77" s="12">
        <f t="shared" si="4"/>
        <v>-77.76173999999999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195.2</v>
      </c>
      <c r="D78" s="18">
        <v>117.43826</v>
      </c>
      <c r="E78" s="12">
        <f t="shared" si="5"/>
        <v>60.16304303278689</v>
      </c>
      <c r="F78" s="12">
        <f t="shared" si="4"/>
        <v>-77.76173999999999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3703.109</v>
      </c>
      <c r="D85" s="39">
        <f>SUM(D86:D88)</f>
        <v>1803.53</v>
      </c>
      <c r="E85" s="11">
        <f t="shared" si="5"/>
        <v>48.70313026162611</v>
      </c>
      <c r="F85" s="12">
        <f t="shared" si="4"/>
        <v>-1899.579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3703.109</v>
      </c>
      <c r="D86" s="18">
        <v>1803.53</v>
      </c>
      <c r="E86" s="12">
        <f t="shared" si="5"/>
        <v>48.70313026162611</v>
      </c>
      <c r="F86" s="12">
        <f t="shared" si="4"/>
        <v>-1899.579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21.5</v>
      </c>
      <c r="D89" s="39">
        <f>D90+D91+D92+D93+D94</f>
        <v>8.4</v>
      </c>
      <c r="E89" s="11">
        <f>D89/C89*100</f>
        <v>39.06976744186046</v>
      </c>
      <c r="F89" s="12">
        <f t="shared" si="4"/>
        <v>-13.1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21.5</v>
      </c>
      <c r="D90" s="18">
        <v>8.4</v>
      </c>
      <c r="E90" s="11">
        <f aca="true" t="shared" si="6" ref="E90:E99">D90/C90*100</f>
        <v>39.06976744186046</v>
      </c>
      <c r="F90" s="12">
        <f>D90-C90</f>
        <v>-13.1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137</v>
      </c>
      <c r="C99" s="39">
        <f>C100</f>
        <v>2949.3</v>
      </c>
      <c r="D99" s="39">
        <f>D100</f>
        <v>1812.6</v>
      </c>
      <c r="E99" s="11">
        <f t="shared" si="6"/>
        <v>61.458651205370764</v>
      </c>
      <c r="F99" s="12">
        <f t="shared" si="7"/>
        <v>-1136.7000000000003</v>
      </c>
    </row>
    <row r="100" spans="1:6" s="9" customFormat="1" ht="13.5" customHeight="1">
      <c r="A100" s="59">
        <v>1403</v>
      </c>
      <c r="B100" s="60" t="s">
        <v>291</v>
      </c>
      <c r="C100" s="18">
        <v>2949.3</v>
      </c>
      <c r="D100" s="18">
        <v>1812.6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138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10204.609</v>
      </c>
      <c r="D103" s="39">
        <f>SUM(D52,D56,D58,D62,D66,D70,D72,D77,D79,D85,D89,D99)</f>
        <v>5616.45715</v>
      </c>
      <c r="E103" s="12">
        <f t="shared" si="5"/>
        <v>55.038435573572684</v>
      </c>
      <c r="F103" s="12">
        <f t="shared" si="4"/>
        <v>-4588.15185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1" t="s">
        <v>319</v>
      </c>
      <c r="B1" s="281"/>
      <c r="C1" s="281"/>
      <c r="D1" s="281"/>
      <c r="E1" s="281"/>
      <c r="F1" s="281"/>
      <c r="G1" s="1"/>
    </row>
    <row r="2" spans="1:7" ht="18" customHeight="1">
      <c r="A2" s="281"/>
      <c r="B2" s="281"/>
      <c r="C2" s="281"/>
      <c r="D2" s="281"/>
      <c r="E2" s="281"/>
      <c r="F2" s="281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313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2057.2000000000003</v>
      </c>
      <c r="D5" s="11">
        <f>SUM(D6,D8,D10,D13,D15)</f>
        <v>1851.4200300000002</v>
      </c>
      <c r="E5" s="12">
        <f aca="true" t="shared" si="0" ref="E5:E35">D5/C5*100</f>
        <v>89.99708487264243</v>
      </c>
      <c r="F5" s="12">
        <f aca="true" t="shared" si="1" ref="F5:F36">D5-C5</f>
        <v>-205.77997000000005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1649.4</v>
      </c>
      <c r="D6" s="11">
        <f>SUM(D7)</f>
        <v>1465.73718</v>
      </c>
      <c r="E6" s="12">
        <f t="shared" si="0"/>
        <v>88.86487086213168</v>
      </c>
      <c r="F6" s="12">
        <f t="shared" si="1"/>
        <v>-183.66282</v>
      </c>
      <c r="G6" s="1"/>
    </row>
    <row r="7" spans="1:7" s="9" customFormat="1" ht="15.75">
      <c r="A7" s="13">
        <v>1010200001</v>
      </c>
      <c r="B7" s="14" t="s">
        <v>7</v>
      </c>
      <c r="C7" s="15">
        <v>1649.4</v>
      </c>
      <c r="D7" s="15">
        <v>1465.73718</v>
      </c>
      <c r="E7" s="12">
        <f t="shared" si="0"/>
        <v>88.86487086213168</v>
      </c>
      <c r="F7" s="12">
        <f t="shared" si="1"/>
        <v>-183.66282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0.6994</v>
      </c>
      <c r="E8" s="12">
        <f t="shared" si="0"/>
        <v>6.994</v>
      </c>
      <c r="F8" s="12">
        <f t="shared" si="1"/>
        <v>-9.3006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0.6994</v>
      </c>
      <c r="E9" s="12">
        <f t="shared" si="0"/>
        <v>6.994</v>
      </c>
      <c r="F9" s="12">
        <f t="shared" si="1"/>
        <v>-9.3006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377.56345</v>
      </c>
      <c r="E10" s="12">
        <f t="shared" si="0"/>
        <v>97.89044594244231</v>
      </c>
      <c r="F10" s="12">
        <f t="shared" si="1"/>
        <v>-8.13655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359.88231</v>
      </c>
      <c r="E11" s="12">
        <f t="shared" si="0"/>
        <v>96.8206376109766</v>
      </c>
      <c r="F11" s="12">
        <f t="shared" si="1"/>
        <v>-11.81768999999997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17.68114</v>
      </c>
      <c r="E12" s="12">
        <f t="shared" si="0"/>
        <v>126.29385714285715</v>
      </c>
      <c r="F12" s="12">
        <f t="shared" si="1"/>
        <v>3.681139999999999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7.42</v>
      </c>
      <c r="E15" s="12">
        <f t="shared" si="0"/>
        <v>61.32231404958678</v>
      </c>
      <c r="F15" s="12">
        <f t="shared" si="1"/>
        <v>-4.68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7.42</v>
      </c>
      <c r="E17" s="12">
        <f t="shared" si="0"/>
        <v>61.32231404958678</v>
      </c>
      <c r="F17" s="12">
        <f t="shared" si="1"/>
        <v>-4.68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512</v>
      </c>
      <c r="D20" s="11">
        <f>SUM(D21:D36)</f>
        <v>1508.9366300000002</v>
      </c>
      <c r="E20" s="12">
        <f t="shared" si="0"/>
        <v>294.714185546875</v>
      </c>
      <c r="F20" s="12">
        <f t="shared" si="1"/>
        <v>996.9366300000002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450</v>
      </c>
      <c r="D21" s="12">
        <v>898.43865</v>
      </c>
      <c r="E21" s="12">
        <f t="shared" si="0"/>
        <v>199.65303333333335</v>
      </c>
      <c r="F21" s="12">
        <f t="shared" si="1"/>
        <v>448.43865000000005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584.12048</v>
      </c>
      <c r="E25" s="12">
        <f t="shared" si="0"/>
        <v>973.5341333333334</v>
      </c>
      <c r="F25" s="12">
        <f t="shared" si="1"/>
        <v>524.12048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9.2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5" customHeight="1">
      <c r="A35" s="13">
        <v>1169000000</v>
      </c>
      <c r="B35" s="14" t="s">
        <v>35</v>
      </c>
      <c r="C35" s="12"/>
      <c r="D35" s="12">
        <v>22.49</v>
      </c>
      <c r="E35" s="12" t="e">
        <f t="shared" si="0"/>
        <v>#DIV/0!</v>
      </c>
      <c r="F35" s="12">
        <f t="shared" si="1"/>
        <v>22.49</v>
      </c>
      <c r="G35" s="1"/>
    </row>
    <row r="36" spans="1:7" s="9" customFormat="1" ht="15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4.2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2569.2000000000003</v>
      </c>
      <c r="D38" s="11">
        <f>SUM(D20,D5)</f>
        <v>3360.3566600000004</v>
      </c>
      <c r="E38" s="12">
        <f aca="true" t="shared" si="2" ref="E38:E47">D38/C38*100</f>
        <v>130.79389148373036</v>
      </c>
      <c r="F38" s="12">
        <f aca="true" t="shared" si="3" ref="F38:F47">D38-C38</f>
        <v>791.1566600000001</v>
      </c>
      <c r="G38" s="1"/>
    </row>
    <row r="39" spans="1:7" s="9" customFormat="1" ht="15.75">
      <c r="A39" s="10"/>
      <c r="B39" s="10" t="s">
        <v>39</v>
      </c>
      <c r="C39" s="11">
        <f>SUM(C40:C44)</f>
        <v>9683.006000000001</v>
      </c>
      <c r="D39" s="11">
        <f>SUM(D40:D44)</f>
        <v>8207.206</v>
      </c>
      <c r="E39" s="12">
        <f t="shared" si="2"/>
        <v>84.75886517058855</v>
      </c>
      <c r="F39" s="12">
        <f t="shared" si="3"/>
        <v>-1475.800000000001</v>
      </c>
      <c r="G39" s="1"/>
    </row>
    <row r="40" spans="1:8" s="9" customFormat="1" ht="15.75">
      <c r="A40" s="13">
        <v>2020100000</v>
      </c>
      <c r="B40" s="13" t="s">
        <v>40</v>
      </c>
      <c r="C40" s="12">
        <v>2102.8</v>
      </c>
      <c r="D40" s="12">
        <v>1711.67</v>
      </c>
      <c r="E40" s="12">
        <f t="shared" si="2"/>
        <v>81.39956248811109</v>
      </c>
      <c r="F40" s="12">
        <f t="shared" si="3"/>
        <v>-391.1300000000001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7466.51</v>
      </c>
      <c r="D42" s="12">
        <v>6381.875</v>
      </c>
      <c r="E42" s="12">
        <f t="shared" si="2"/>
        <v>85.47333359226734</v>
      </c>
      <c r="F42" s="12">
        <f t="shared" si="3"/>
        <v>-1084.6350000000002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113.696</v>
      </c>
      <c r="D43" s="12">
        <v>113.661</v>
      </c>
      <c r="E43" s="12">
        <f t="shared" si="2"/>
        <v>99.96921615536168</v>
      </c>
      <c r="F43" s="12">
        <f t="shared" si="3"/>
        <v>-0.03499999999999659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12252.206000000002</v>
      </c>
      <c r="D46" s="11">
        <f>SUM(D39,D38)</f>
        <v>11567.56266</v>
      </c>
      <c r="E46" s="12">
        <f t="shared" si="2"/>
        <v>94.41208105707656</v>
      </c>
      <c r="F46" s="12">
        <f t="shared" si="3"/>
        <v>-684.6433400000024</v>
      </c>
      <c r="G46" s="1"/>
    </row>
    <row r="47" spans="1:7" s="9" customFormat="1" ht="15.75">
      <c r="A47" s="10"/>
      <c r="B47" s="22" t="s">
        <v>303</v>
      </c>
      <c r="C47" s="11">
        <f>C103-C46</f>
        <v>976.8739999999998</v>
      </c>
      <c r="D47" s="11">
        <f>D103-D46</f>
        <v>-3591.404800000001</v>
      </c>
      <c r="E47" s="12">
        <f t="shared" si="2"/>
        <v>-367.64258235964945</v>
      </c>
      <c r="F47" s="12">
        <f t="shared" si="3"/>
        <v>-4568.278800000001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313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920.60875</v>
      </c>
      <c r="D52" s="39">
        <f>SUM(D53:D55)</f>
        <v>605.05549</v>
      </c>
      <c r="E52" s="12">
        <f>D52/C52*100</f>
        <v>65.72341290477632</v>
      </c>
      <c r="F52" s="12">
        <f>D52-C52</f>
        <v>-315.55326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902.01</v>
      </c>
      <c r="D53" s="18">
        <v>605.05549</v>
      </c>
      <c r="E53" s="12">
        <f>D53/C53*100</f>
        <v>67.07857895145285</v>
      </c>
      <c r="F53" s="12">
        <f>D53-C53</f>
        <v>-296.95451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68.57585</v>
      </c>
      <c r="E56" s="12">
        <f>D56/C56*100</f>
        <v>60.38201109447918</v>
      </c>
      <c r="F56" s="12">
        <f aca="true" t="shared" si="4" ref="F56:F103">D56-C56</f>
        <v>-44.99414999999999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68.57585</v>
      </c>
      <c r="E57" s="12">
        <f>D57/C57*100</f>
        <v>60.38201109447918</v>
      </c>
      <c r="F57" s="12">
        <f t="shared" si="4"/>
        <v>-44.99414999999999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23.30125</v>
      </c>
      <c r="D58" s="44">
        <f>D59+D60+D61</f>
        <v>1.40125</v>
      </c>
      <c r="E58" s="12">
        <f>D58/C58*100</f>
        <v>6.013625878439999</v>
      </c>
      <c r="F58" s="12">
        <f t="shared" si="4"/>
        <v>-21.9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272</v>
      </c>
      <c r="C60" s="49">
        <v>23.30125</v>
      </c>
      <c r="D60" s="49">
        <v>1.40125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4964.7</v>
      </c>
      <c r="D62" s="39">
        <f>D63+D64+D65</f>
        <v>4360.393</v>
      </c>
      <c r="E62" s="12">
        <f>D62/C62*100</f>
        <v>87.82792515157008</v>
      </c>
      <c r="F62" s="12">
        <f t="shared" si="4"/>
        <v>-604.3069999999998</v>
      </c>
      <c r="G62" s="31"/>
    </row>
    <row r="63" spans="1:7" s="9" customFormat="1" ht="15" customHeight="1">
      <c r="A63" s="40" t="s">
        <v>68</v>
      </c>
      <c r="B63" s="17" t="s">
        <v>69</v>
      </c>
      <c r="C63" s="18">
        <v>4345.2</v>
      </c>
      <c r="D63" s="18">
        <v>4088.689</v>
      </c>
      <c r="E63" s="12">
        <f>D63/C63*100</f>
        <v>94.09668139556292</v>
      </c>
      <c r="F63" s="12">
        <f>D63-C63</f>
        <v>-256.51099999999997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483.5</v>
      </c>
      <c r="D64" s="18">
        <v>226.704</v>
      </c>
      <c r="E64" s="12">
        <f>D64/C64*100</f>
        <v>46.888107549120996</v>
      </c>
      <c r="F64" s="12">
        <f t="shared" si="4"/>
        <v>-256.796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136</v>
      </c>
      <c r="D65" s="18">
        <v>45</v>
      </c>
      <c r="E65" s="12">
        <f>D65/C65*100</f>
        <v>33.088235294117645</v>
      </c>
      <c r="F65" s="12">
        <f t="shared" si="4"/>
        <v>-91</v>
      </c>
      <c r="G65" s="31"/>
    </row>
    <row r="66" spans="1:7" s="9" customFormat="1" ht="15" customHeight="1">
      <c r="A66" s="37" t="s">
        <v>74</v>
      </c>
      <c r="B66" s="38" t="s">
        <v>75</v>
      </c>
      <c r="C66" s="39">
        <f>C67+C68+C69</f>
        <v>1149.58</v>
      </c>
      <c r="D66" s="39">
        <f>D67+D68+D69</f>
        <v>835.78937</v>
      </c>
      <c r="E66" s="12">
        <f>D66/C66*100</f>
        <v>72.70388924650743</v>
      </c>
      <c r="F66" s="12">
        <f t="shared" si="4"/>
        <v>-313.79062999999996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103.28</v>
      </c>
      <c r="D68" s="18">
        <v>82.149</v>
      </c>
      <c r="E68" s="12"/>
      <c r="F68" s="12">
        <f t="shared" si="4"/>
        <v>-21.131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1046.3</v>
      </c>
      <c r="D69" s="18">
        <v>753.64037</v>
      </c>
      <c r="E69" s="12">
        <f>D69/C69*100</f>
        <v>72.02909012711459</v>
      </c>
      <c r="F69" s="12">
        <f t="shared" si="4"/>
        <v>-292.65963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3331.92</v>
      </c>
      <c r="D77" s="39">
        <f>SUM(D78:D78)</f>
        <v>482.6739</v>
      </c>
      <c r="E77" s="12">
        <f t="shared" si="5"/>
        <v>14.486359216307715</v>
      </c>
      <c r="F77" s="12">
        <f t="shared" si="4"/>
        <v>-2849.2461000000003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3331.92</v>
      </c>
      <c r="D78" s="18">
        <v>482.6739</v>
      </c>
      <c r="E78" s="12">
        <f t="shared" si="5"/>
        <v>14.486359216307715</v>
      </c>
      <c r="F78" s="12">
        <f t="shared" si="4"/>
        <v>-2849.2461000000003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1772.61</v>
      </c>
      <c r="D85" s="39">
        <f>SUM(D86:D88)</f>
        <v>757.74</v>
      </c>
      <c r="E85" s="11">
        <f t="shared" si="5"/>
        <v>42.747135579738355</v>
      </c>
      <c r="F85" s="12">
        <f t="shared" si="4"/>
        <v>-1014.8699999999999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1772.61</v>
      </c>
      <c r="D86" s="18">
        <v>757.74</v>
      </c>
      <c r="E86" s="12">
        <f t="shared" si="5"/>
        <v>42.747135579738355</v>
      </c>
      <c r="F86" s="12">
        <f t="shared" si="4"/>
        <v>-1014.8699999999999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32</v>
      </c>
      <c r="D89" s="39">
        <f>D90+D91+D92+D93+D94</f>
        <v>18.489</v>
      </c>
      <c r="E89" s="11">
        <f>D89/C89*100</f>
        <v>57.778125</v>
      </c>
      <c r="F89" s="12">
        <f t="shared" si="4"/>
        <v>-13.511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32</v>
      </c>
      <c r="D90" s="18">
        <v>18.489</v>
      </c>
      <c r="E90" s="11">
        <f aca="true" t="shared" si="6" ref="E90:E100">D90/C90*100</f>
        <v>57.778125</v>
      </c>
      <c r="F90" s="12">
        <f>D90-C90</f>
        <v>-13.511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920.79</v>
      </c>
      <c r="D99" s="39">
        <f>D100</f>
        <v>846.04</v>
      </c>
      <c r="E99" s="11">
        <f t="shared" si="6"/>
        <v>91.8819709162784</v>
      </c>
      <c r="F99" s="12">
        <f t="shared" si="7"/>
        <v>-74.75</v>
      </c>
    </row>
    <row r="100" spans="1:6" s="9" customFormat="1" ht="15.75" customHeight="1">
      <c r="A100" s="59">
        <v>1403</v>
      </c>
      <c r="B100" s="60" t="s">
        <v>291</v>
      </c>
      <c r="C100" s="18">
        <v>920.79</v>
      </c>
      <c r="D100" s="18">
        <v>846.04</v>
      </c>
      <c r="E100" s="12">
        <f t="shared" si="6"/>
        <v>91.8819709162784</v>
      </c>
      <c r="F100" s="12">
        <f t="shared" si="7"/>
        <v>-74.75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13229.080000000002</v>
      </c>
      <c r="D103" s="39">
        <f>D52+D56+D58+D62+D66+D77+D85+D89+D99</f>
        <v>7976.157859999998</v>
      </c>
      <c r="E103" s="12">
        <f t="shared" si="5"/>
        <v>60.292611882307746</v>
      </c>
      <c r="F103" s="12">
        <f t="shared" si="4"/>
        <v>-5252.922140000003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2011-11-10T09:44:16Z</cp:lastPrinted>
  <dcterms:created xsi:type="dcterms:W3CDTF">1996-10-08T23:32:33Z</dcterms:created>
  <dcterms:modified xsi:type="dcterms:W3CDTF">2011-11-11T09:53:56Z</dcterms:modified>
  <cp:category/>
  <cp:version/>
  <cp:contentType/>
  <cp:contentStatus/>
</cp:coreProperties>
</file>